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5550" windowWidth="19440" windowHeight="5010" tabRatio="831"/>
  </bookViews>
  <sheets>
    <sheet name="Данные по УК" sheetId="7" r:id="rId1"/>
    <sheet name="Данные по МКД-4" sheetId="4" r:id="rId2"/>
    <sheet name="Данные по МКД-6" sheetId="6" r:id="rId3"/>
    <sheet name="Данные по МКД-2" sheetId="2" r:id="rId4"/>
    <sheet name="Данные по МКД-1" sheetId="1" r:id="rId5"/>
    <sheet name="Данные по МКД-3" sheetId="3" r:id="rId6"/>
    <sheet name="Данные по МКД-5" sheetId="5" r:id="rId7"/>
  </sheets>
  <definedNames>
    <definedName name="_xlnm.Print_Area" localSheetId="4">'Данные по МКД-1'!$A$1:$F$20</definedName>
  </definedNames>
  <calcPr calcId="145621"/>
</workbook>
</file>

<file path=xl/calcChain.xml><?xml version="1.0" encoding="utf-8"?>
<calcChain xmlns="http://schemas.openxmlformats.org/spreadsheetml/2006/main">
  <c r="E4" i="7" l="1"/>
  <c r="E5" i="7"/>
  <c r="D16" i="1"/>
  <c r="D7" i="1"/>
  <c r="C4" i="6"/>
  <c r="C79" i="4"/>
  <c r="C77" i="4"/>
  <c r="C75" i="4"/>
  <c r="C62" i="4"/>
  <c r="C60" i="4"/>
  <c r="C58" i="4"/>
  <c r="C56" i="4"/>
  <c r="C45" i="4"/>
  <c r="C28" i="4"/>
  <c r="C26" i="4"/>
  <c r="C24" i="4"/>
  <c r="C22" i="4"/>
  <c r="C11" i="4"/>
  <c r="C9" i="4"/>
  <c r="C7" i="4"/>
  <c r="C5" i="4"/>
  <c r="C16" i="1"/>
  <c r="C7" i="1"/>
  <c r="C9" i="1"/>
  <c r="C8" i="1"/>
  <c r="B4" i="6"/>
  <c r="B4" i="7" s="1"/>
  <c r="B5" i="7" s="1"/>
  <c r="B79" i="4"/>
  <c r="B75" i="4"/>
  <c r="B73" i="4"/>
  <c r="B62" i="4"/>
  <c r="B60" i="4"/>
  <c r="B58" i="4"/>
  <c r="B56" i="4"/>
  <c r="B45" i="4"/>
  <c r="B41" i="4"/>
  <c r="B28" i="4"/>
  <c r="B26" i="4"/>
  <c r="B24" i="4"/>
  <c r="B22" i="4"/>
  <c r="B7" i="4"/>
  <c r="B5" i="4"/>
  <c r="B11" i="4"/>
  <c r="B9" i="4"/>
  <c r="E8" i="3"/>
  <c r="E6" i="3"/>
  <c r="F19" i="1"/>
  <c r="E16" i="1"/>
  <c r="D4" i="6"/>
  <c r="D3" i="6"/>
  <c r="D79" i="4"/>
  <c r="D75" i="4"/>
  <c r="D62" i="4"/>
  <c r="D60" i="4"/>
  <c r="D56" i="4"/>
  <c r="D58" i="4" s="1"/>
  <c r="D45" i="4"/>
  <c r="D28" i="4"/>
  <c r="D26" i="4"/>
  <c r="D22" i="4"/>
  <c r="D24" i="4" s="1"/>
  <c r="D11" i="4"/>
  <c r="D9" i="4"/>
  <c r="D7" i="4"/>
  <c r="D5" i="4"/>
  <c r="C4" i="7"/>
  <c r="C5" i="7" s="1"/>
  <c r="D4" i="7" l="1"/>
  <c r="E19" i="4"/>
  <c r="D5" i="7" l="1"/>
  <c r="E7" i="1"/>
  <c r="C81" i="4"/>
  <c r="D81" i="4"/>
  <c r="B81" i="4"/>
  <c r="B85" i="4" s="1"/>
  <c r="C64" i="4"/>
  <c r="C68" i="4" s="1"/>
  <c r="D64" i="4"/>
  <c r="B64" i="4"/>
  <c r="B68" i="4" s="1"/>
  <c r="C47" i="4"/>
  <c r="C51" i="4" s="1"/>
  <c r="D47" i="4"/>
  <c r="B47" i="4"/>
  <c r="B51" i="4" s="1"/>
  <c r="C30" i="4"/>
  <c r="C34" i="4" s="1"/>
  <c r="D30" i="4"/>
  <c r="B30" i="4"/>
  <c r="B34" i="4" s="1"/>
  <c r="C13" i="4"/>
  <c r="D13" i="4"/>
  <c r="B13" i="4"/>
  <c r="B17" i="4" s="1"/>
  <c r="D17" i="4"/>
  <c r="C17" i="4"/>
  <c r="D34" i="4"/>
  <c r="D85" i="4"/>
  <c r="C85" i="4"/>
  <c r="D68" i="4"/>
  <c r="D51" i="4"/>
  <c r="C6" i="7"/>
  <c r="D6" i="7"/>
  <c r="B6" i="7"/>
  <c r="J11" i="7"/>
  <c r="E14" i="7"/>
  <c r="J14" i="7" s="1"/>
  <c r="E7" i="7"/>
  <c r="J7" i="7" s="1"/>
  <c r="E10" i="7"/>
  <c r="J10" i="7" s="1"/>
  <c r="E6" i="7"/>
  <c r="J6" i="7" s="1"/>
  <c r="E8" i="7"/>
  <c r="E9" i="7"/>
  <c r="E12" i="7"/>
  <c r="E13" i="7"/>
  <c r="E15" i="7"/>
  <c r="E11" i="7"/>
  <c r="E53" i="4" l="1"/>
  <c r="E36" i="4"/>
  <c r="E30" i="4"/>
  <c r="E28" i="4"/>
  <c r="E26" i="4"/>
  <c r="E24" i="4"/>
  <c r="E22" i="4"/>
  <c r="E7" i="4"/>
  <c r="E9" i="4"/>
  <c r="E11" i="4"/>
  <c r="E5" i="4"/>
  <c r="E17" i="4"/>
  <c r="E15" i="4"/>
  <c r="E85" i="4"/>
  <c r="F13" i="3" l="1"/>
  <c r="F12" i="3"/>
  <c r="F11" i="3"/>
  <c r="F10" i="3"/>
  <c r="F9" i="3"/>
  <c r="F7" i="3"/>
  <c r="E5" i="3"/>
  <c r="D5" i="3"/>
  <c r="C5" i="3"/>
  <c r="F4" i="3"/>
  <c r="E3" i="3"/>
  <c r="D3" i="3"/>
  <c r="C3" i="3"/>
  <c r="G19" i="1"/>
  <c r="F18" i="1"/>
  <c r="F17" i="1"/>
  <c r="F16" i="1"/>
  <c r="F15" i="1"/>
  <c r="F14" i="1"/>
  <c r="F13" i="1"/>
  <c r="F12" i="1"/>
  <c r="G11" i="1"/>
  <c r="F10" i="1"/>
  <c r="F6" i="1"/>
  <c r="G5" i="1"/>
  <c r="F4" i="1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F10" i="2" s="1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87" i="4"/>
  <c r="E83" i="4"/>
  <c r="E81" i="4"/>
  <c r="E79" i="4"/>
  <c r="E77" i="4"/>
  <c r="E75" i="4"/>
  <c r="E73" i="4"/>
  <c r="E70" i="4"/>
  <c r="E68" i="4"/>
  <c r="E66" i="4"/>
  <c r="E64" i="4"/>
  <c r="E62" i="4"/>
  <c r="E60" i="4"/>
  <c r="E58" i="4"/>
  <c r="E56" i="4"/>
  <c r="E51" i="4"/>
  <c r="E49" i="4"/>
  <c r="E47" i="4"/>
  <c r="E45" i="4"/>
  <c r="E43" i="4"/>
  <c r="E41" i="4"/>
  <c r="E39" i="4"/>
  <c r="E34" i="4"/>
  <c r="E32" i="4"/>
  <c r="E13" i="4"/>
  <c r="F4" i="2" l="1"/>
  <c r="F12" i="2"/>
  <c r="F16" i="2"/>
  <c r="F14" i="2"/>
  <c r="F6" i="3"/>
  <c r="G6" i="3" s="1"/>
  <c r="F8" i="2"/>
  <c r="F6" i="2"/>
  <c r="F11" i="2"/>
  <c r="F5" i="2"/>
  <c r="F7" i="2"/>
  <c r="F9" i="2"/>
  <c r="F13" i="2"/>
  <c r="F15" i="2"/>
  <c r="F3" i="3"/>
  <c r="G3" i="3" s="1"/>
  <c r="F5" i="3"/>
  <c r="G5" i="3" s="1"/>
</calcChain>
</file>

<file path=xl/sharedStrings.xml><?xml version="1.0" encoding="utf-8"?>
<sst xmlns="http://schemas.openxmlformats.org/spreadsheetml/2006/main" count="174" uniqueCount="96">
  <si>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</si>
  <si>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</si>
  <si>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</si>
  <si>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</si>
  <si>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</si>
  <si>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</si>
  <si>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</si>
  <si>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</si>
  <si>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</si>
  <si>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</si>
  <si>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</si>
  <si>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</si>
  <si>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</si>
  <si>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</si>
  <si>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</si>
  <si>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</si>
  <si>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</si>
  <si>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Данные за период управления:</t>
  </si>
  <si>
    <t>Работы по содержанию и ремонту лифта (лифтов) в многоквартирном доме</t>
  </si>
  <si>
    <t>Работы по содержанию и ремонту мусоропроводов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</si>
  <si>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</si>
  <si>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</si>
  <si>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</si>
  <si>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Проведение 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</si>
  <si>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</si>
  <si>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</si>
  <si>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</si>
  <si>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Работы по обеспечению требований пожарной безопасности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</si>
  <si>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</si>
  <si>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</si>
  <si>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</si>
  <si>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(отчеты по управлению) - выполненные работы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</si>
  <si>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</si>
  <si>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</si>
  <si>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</si>
  <si>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</si>
  <si>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(отчеты по управлению) - коммунальные услуги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</si>
  <si>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</si>
  <si>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</si>
  <si>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</si>
  <si>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</si>
  <si>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</si>
  <si>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</si>
  <si>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(отчеты по управлению) - объемы по коммунальным услугам</t>
  </si>
  <si>
    <t>Электроснабжение (начислено потребителям)</t>
  </si>
  <si>
    <t>Холодное водоснабжение (начислено потребителям)</t>
  </si>
  <si>
    <t>Отопление (начислено потребителям)</t>
  </si>
  <si>
    <t>Горячее водоснабжение (начислено потребителям)</t>
  </si>
  <si>
    <t>Водоотведение (начислено потребителям)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</si>
  <si>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</si>
  <si>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</si>
  <si>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</si>
  <si>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(отчеты по управлению) претензионно-исковая работа</t>
  </si>
  <si>
    <t xml:space="preserve"> (отчеты по управлению) - общая информация</t>
  </si>
  <si>
    <t>(управление) - выполняемые работы (услуги)</t>
  </si>
  <si>
    <t>Общая задолженность по тепловой энергии, руб.</t>
  </si>
  <si>
    <t>Общая задолженность по тепловой энергии для нужд отопления, руб.</t>
  </si>
  <si>
    <t>Общая задолженность по тепловой энергии для нужд горячего водоснабжения, руб.</t>
  </si>
  <si>
    <t>Общая задолженность по горячей воде, руб.</t>
  </si>
  <si>
    <t>Общая задолженность по холодной воде, руб.</t>
  </si>
  <si>
    <t>Общая задолженность по водоотведению, руб.</t>
  </si>
  <si>
    <t>Общая задолженность по поставке газа, руб.</t>
  </si>
  <si>
    <t>Общая задолженность по электрической энергии, руб.</t>
  </si>
  <si>
    <t>Общая задолженность по прочим ресурсам (услугам), руб.</t>
  </si>
  <si>
    <t>Данные УК основные финансовые показатели</t>
  </si>
  <si>
    <t>Данные по МКД</t>
  </si>
  <si>
    <t>ГУП ТЭК</t>
  </si>
  <si>
    <t>ВСЕГО</t>
  </si>
  <si>
    <t>ГУП Водоканал</t>
  </si>
  <si>
    <t>АО ПСК</t>
  </si>
  <si>
    <t>пропорционально начислению</t>
  </si>
  <si>
    <t>общее начисление жилищных услуг</t>
  </si>
  <si>
    <t>ЖУ</t>
  </si>
  <si>
    <t>Общий объем потребления,КВт.</t>
  </si>
  <si>
    <t>Общий объем потребления, м.3</t>
  </si>
  <si>
    <t>Общий объем потребления, Гкал.</t>
  </si>
  <si>
    <t>Данные по МКД-1</t>
  </si>
  <si>
    <t>Начислено потребителям, руб.</t>
  </si>
  <si>
    <t>суммы начислений</t>
  </si>
  <si>
    <t>2016 г.</t>
  </si>
  <si>
    <t>Сикейроса</t>
  </si>
  <si>
    <t>15 корп.2</t>
  </si>
  <si>
    <t>17 корп.3</t>
  </si>
  <si>
    <t>Сик. 17/3</t>
  </si>
  <si>
    <t>Сик. 13</t>
  </si>
  <si>
    <t>Север. 12/1</t>
  </si>
  <si>
    <t>Сик. 15/2           Сик. 17/3</t>
  </si>
  <si>
    <t>Сик. 15/2</t>
  </si>
  <si>
    <t>проверка</t>
  </si>
  <si>
    <t>водоканал+ тсж</t>
  </si>
  <si>
    <t>ГУП ТЭК+ тсж</t>
  </si>
  <si>
    <t>ПСК+ тсж</t>
  </si>
  <si>
    <t>Сведения о доходах, полученных за оказание услуг по управлению многоквартирными домами</t>
  </si>
  <si>
    <t>Сведения о расходах, понесенных в связи с оказанием услуг по управлению многоквартирными домами</t>
  </si>
  <si>
    <t>Общая задолженность управляющей организации (индивидуального предпринимателя) перед ресурсоснабжающими организациями на 01.01.2017:</t>
  </si>
  <si>
    <t>Задолженность перед поставщиком (поставщиками) коммунального ресурса на 01.01.2017,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</si>
</sst>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717171"/>
      <name val="Arial"/>
      <family val="2"/>
      <charset val="204"/>
    </font>
    <font>
      <sz val="12"/>
      <color rgb="FF71717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717171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12" fillId="0" borderId="0" xfId="0" applyFont="1"/>
    <xf numFmtId="4" fontId="12" fillId="0" borderId="0" xfId="0" applyNumberFormat="1" applyFont="1"/>
    <xf numFmtId="4" fontId="15" fillId="0" borderId="1" xfId="0" applyNumberFormat="1" applyFont="1" applyBorder="1"/>
    <xf numFmtId="4" fontId="16" fillId="0" borderId="1" xfId="0" applyNumberFormat="1" applyFont="1" applyBorder="1"/>
    <xf numFmtId="4" fontId="15" fillId="0" borderId="4" xfId="0" applyNumberFormat="1" applyFont="1" applyBorder="1"/>
    <xf numFmtId="4" fontId="16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4" fontId="16" fillId="0" borderId="1" xfId="0" applyNumberFormat="1" applyFont="1" applyFill="1" applyBorder="1"/>
    <xf numFmtId="0" fontId="2" fillId="3" borderId="2" xfId="0" applyFont="1" applyFill="1" applyBorder="1" applyAlignment="1">
      <alignment vertical="center"/>
    </xf>
    <xf numFmtId="4" fontId="17" fillId="0" borderId="1" xfId="0" applyNumberFormat="1" applyFont="1" applyBorder="1"/>
    <xf numFmtId="4" fontId="16" fillId="0" borderId="8" xfId="0" applyNumberFormat="1" applyFont="1" applyBorder="1"/>
    <xf numFmtId="4" fontId="16" fillId="0" borderId="9" xfId="0" applyNumberFormat="1" applyFont="1" applyBorder="1"/>
    <xf numFmtId="4" fontId="16" fillId="0" borderId="10" xfId="0" applyNumberFormat="1" applyFont="1" applyBorder="1"/>
    <xf numFmtId="4" fontId="6" fillId="0" borderId="1" xfId="0" applyNumberFormat="1" applyFont="1" applyFill="1" applyBorder="1" applyAlignment="1">
      <alignment horizontal="right" vertical="center" wrapText="1" indent="1"/>
    </xf>
    <xf numFmtId="0" fontId="0" fillId="0" borderId="1" xfId="0" applyFill="1" applyBorder="1"/>
    <xf numFmtId="4" fontId="0" fillId="0" borderId="0" xfId="0" applyNumberFormat="1"/>
    <xf numFmtId="4" fontId="14" fillId="2" borderId="1" xfId="0" applyNumberFormat="1" applyFont="1" applyFill="1" applyBorder="1" applyAlignment="1">
      <alignment horizontal="right" vertical="center" wrapText="1" indent="1"/>
    </xf>
    <xf numFmtId="4" fontId="8" fillId="2" borderId="1" xfId="0" applyNumberFormat="1" applyFont="1" applyFill="1" applyBorder="1" applyAlignment="1">
      <alignment horizontal="right" vertical="center" wrapText="1" indent="1"/>
    </xf>
    <xf numFmtId="4" fontId="20" fillId="0" borderId="1" xfId="0" applyNumberFormat="1" applyFont="1" applyFill="1" applyBorder="1" applyAlignment="1">
      <alignment horizontal="right" vertical="center" wrapText="1" indent="1"/>
    </xf>
    <xf numFmtId="0" fontId="15" fillId="0" borderId="0" xfId="0" applyFont="1"/>
    <xf numFmtId="3" fontId="18" fillId="2" borderId="1" xfId="0" applyNumberFormat="1" applyFont="1" applyFill="1" applyBorder="1" applyAlignment="1">
      <alignment vertical="center" wrapText="1"/>
    </xf>
    <xf numFmtId="0" fontId="1" fillId="0" borderId="11" xfId="0" applyFont="1" applyBorder="1"/>
    <xf numFmtId="0" fontId="0" fillId="0" borderId="11" xfId="0" applyBorder="1"/>
    <xf numFmtId="0" fontId="11" fillId="0" borderId="11" xfId="0" applyFont="1" applyBorder="1"/>
    <xf numFmtId="0" fontId="1" fillId="0" borderId="12" xfId="0" applyFont="1" applyBorder="1"/>
    <xf numFmtId="4" fontId="15" fillId="0" borderId="13" xfId="0" applyNumberFormat="1" applyFont="1" applyBorder="1"/>
    <xf numFmtId="4" fontId="15" fillId="0" borderId="11" xfId="0" applyNumberFormat="1" applyFont="1" applyBorder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1" fillId="0" borderId="0" xfId="0" applyFont="1"/>
    <xf numFmtId="4" fontId="9" fillId="2" borderId="2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 indent="1"/>
    </xf>
    <xf numFmtId="0" fontId="7" fillId="0" borderId="11" xfId="0" applyFont="1" applyBorder="1"/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" fontId="7" fillId="0" borderId="1" xfId="0" applyNumberFormat="1" applyFont="1" applyBorder="1"/>
    <xf numFmtId="0" fontId="7" fillId="0" borderId="1" xfId="0" applyFont="1" applyBorder="1"/>
    <xf numFmtId="0" fontId="14" fillId="2" borderId="1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24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4" fontId="9" fillId="2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/>
    <xf numFmtId="4" fontId="9" fillId="0" borderId="1" xfId="0" applyNumberFormat="1" applyFont="1" applyFill="1" applyBorder="1"/>
    <xf numFmtId="0" fontId="14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1" xfId="0" applyFont="1" applyFill="1" applyBorder="1" applyAlignment="1"/>
    <xf numFmtId="4" fontId="9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4" fontId="12" fillId="0" borderId="0" xfId="0" applyNumberFormat="1" applyFont="1" applyFill="1"/>
    <xf numFmtId="0" fontId="22" fillId="0" borderId="1" xfId="0" applyFont="1" applyBorder="1"/>
    <xf numFmtId="3" fontId="18" fillId="0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RowHeight="15" outlineLevelCol="1" x14ac:dyDescent="0.25"/>
  <cols>
    <col min="1" max="1" width="81.7109375" style="11" customWidth="1"/>
    <col min="2" max="2" width="13.7109375" style="11" customWidth="1"/>
    <col min="3" max="5" width="13.28515625" style="11" customWidth="1"/>
    <col min="6" max="6" width="15.42578125" hidden="1" customWidth="1"/>
    <col min="7" max="7" width="0" hidden="1" customWidth="1"/>
    <col min="8" max="8" width="12.5703125" hidden="1" customWidth="1"/>
    <col min="9" max="9" width="12.5703125" customWidth="1"/>
    <col min="10" max="11" width="12.5703125" style="49" hidden="1" customWidth="1" outlineLevel="1"/>
    <col min="12" max="12" width="11.5703125" style="45" customWidth="1" collapsed="1"/>
    <col min="13" max="14" width="11.5703125" style="45" customWidth="1"/>
  </cols>
  <sheetData>
    <row r="1" spans="1:11" x14ac:dyDescent="0.25">
      <c r="B1" s="54" t="s">
        <v>79</v>
      </c>
      <c r="C1" s="54"/>
      <c r="D1" s="54"/>
      <c r="E1" s="55"/>
    </row>
    <row r="2" spans="1:11" x14ac:dyDescent="0.25">
      <c r="B2" s="56" t="s">
        <v>80</v>
      </c>
      <c r="C2" s="56" t="s">
        <v>80</v>
      </c>
      <c r="D2" s="56" t="s">
        <v>80</v>
      </c>
      <c r="E2" s="56" t="s">
        <v>67</v>
      </c>
      <c r="J2" s="52" t="s">
        <v>88</v>
      </c>
      <c r="K2" s="52"/>
    </row>
    <row r="3" spans="1:11" x14ac:dyDescent="0.25">
      <c r="A3" s="10" t="s">
        <v>64</v>
      </c>
      <c r="B3" s="57" t="s">
        <v>81</v>
      </c>
      <c r="C3" s="57" t="s">
        <v>82</v>
      </c>
      <c r="D3" s="58">
        <v>13</v>
      </c>
      <c r="E3" s="58"/>
      <c r="F3" s="37"/>
    </row>
    <row r="4" spans="1:11" ht="32.25" customHeight="1" x14ac:dyDescent="0.25">
      <c r="A4" s="59" t="s">
        <v>92</v>
      </c>
      <c r="B4" s="60">
        <f>'Данные по МКД-6'!B3+'Данные по МКД-6'!B4+'Данные по МКД-6'!B5+'Данные по МКД-6'!B6+'Данные по МКД-6'!B7+'Данные по МКД-6'!B8+'Данные по МКД-6'!B9+'Данные по МКД-6'!B10+'Данные по МКД-6'!B11+'Данные по МКД-6'!B12+'Данные по МКД-6'!B13+'Данные по МКД-6'!B14+'Данные по МКД-6'!B15</f>
        <v>252478.45999999996</v>
      </c>
      <c r="C4" s="60">
        <f>'Данные по МКД-6'!C3+'Данные по МКД-6'!C4+'Данные по МКД-6'!C5+'Данные по МКД-6'!C6+'Данные по МКД-6'!C7+'Данные по МКД-6'!C8+'Данные по МКД-6'!C9+'Данные по МКД-6'!C10+'Данные по МКД-6'!C11+'Данные по МКД-6'!C12+'Данные по МКД-6'!C13+'Данные по МКД-6'!C14+'Данные по МКД-6'!C15</f>
        <v>251982.12000000002</v>
      </c>
      <c r="D4" s="60">
        <f>'Данные по МКД-6'!D3+'Данные по МКД-6'!D4+'Данные по МКД-6'!D5+'Данные по МКД-6'!D6+'Данные по МКД-6'!D7+'Данные по МКД-6'!D8+'Данные по МКД-6'!D9+'Данные по МКД-6'!D10+'Данные по МКД-6'!D11+'Данные по МКД-6'!D12+'Данные по МКД-6'!D13+'Данные по МКД-6'!D14+'Данные по МКД-6'!D15</f>
        <v>378839.1</v>
      </c>
      <c r="E4" s="47">
        <f t="shared" ref="E4:E10" si="0">SUM(B4:D4)</f>
        <v>883299.67999999993</v>
      </c>
      <c r="F4" s="38" t="s">
        <v>72</v>
      </c>
      <c r="G4" s="12" t="s">
        <v>71</v>
      </c>
    </row>
    <row r="5" spans="1:11" ht="28.5" x14ac:dyDescent="0.25">
      <c r="A5" s="59" t="s">
        <v>93</v>
      </c>
      <c r="B5" s="60">
        <f>B4</f>
        <v>252478.45999999996</v>
      </c>
      <c r="C5" s="60">
        <f t="shared" ref="C5:D5" si="1">C4</f>
        <v>251982.12000000002</v>
      </c>
      <c r="D5" s="60">
        <f t="shared" si="1"/>
        <v>378839.1</v>
      </c>
      <c r="E5" s="47">
        <f t="shared" si="0"/>
        <v>883299.67999999993</v>
      </c>
      <c r="F5" s="38" t="s">
        <v>72</v>
      </c>
      <c r="G5" s="12" t="s">
        <v>71</v>
      </c>
    </row>
    <row r="6" spans="1:11" ht="45" x14ac:dyDescent="0.25">
      <c r="A6" s="61" t="s">
        <v>94</v>
      </c>
      <c r="B6" s="62">
        <f>SUM(B7:B15)</f>
        <v>618509.68000000005</v>
      </c>
      <c r="C6" s="62">
        <f t="shared" ref="C6:D6" si="2">SUM(C7:C15)</f>
        <v>659538.31999999995</v>
      </c>
      <c r="D6" s="62">
        <f t="shared" si="2"/>
        <v>876286.82000000007</v>
      </c>
      <c r="E6" s="47">
        <f t="shared" si="0"/>
        <v>2154334.8200000003</v>
      </c>
      <c r="F6" s="37"/>
      <c r="J6" s="50">
        <f>201944.24+1051721.04+28821.94+871847.6-E6</f>
        <v>0</v>
      </c>
    </row>
    <row r="7" spans="1:11" x14ac:dyDescent="0.25">
      <c r="A7" s="63" t="s">
        <v>55</v>
      </c>
      <c r="B7" s="64">
        <v>368215.09</v>
      </c>
      <c r="C7" s="64">
        <v>393517.5</v>
      </c>
      <c r="D7" s="64">
        <v>554788</v>
      </c>
      <c r="E7" s="47">
        <f t="shared" si="0"/>
        <v>1316520.5900000001</v>
      </c>
      <c r="F7" s="36" t="s">
        <v>66</v>
      </c>
      <c r="J7" s="50">
        <f>468970.62+1051721.04-E7</f>
        <v>204171.07000000007</v>
      </c>
      <c r="K7" s="51" t="s">
        <v>90</v>
      </c>
    </row>
    <row r="8" spans="1:11" x14ac:dyDescent="0.25">
      <c r="A8" s="63" t="s">
        <v>56</v>
      </c>
      <c r="B8" s="64"/>
      <c r="C8" s="64"/>
      <c r="D8" s="64"/>
      <c r="E8" s="47">
        <f t="shared" si="0"/>
        <v>0</v>
      </c>
      <c r="F8" s="36"/>
      <c r="K8" s="51"/>
    </row>
    <row r="9" spans="1:11" ht="15" customHeight="1" x14ac:dyDescent="0.25">
      <c r="A9" s="63" t="s">
        <v>57</v>
      </c>
      <c r="B9" s="64"/>
      <c r="C9" s="64"/>
      <c r="D9" s="64"/>
      <c r="E9" s="47">
        <f t="shared" si="0"/>
        <v>0</v>
      </c>
      <c r="F9" s="36"/>
      <c r="K9" s="51"/>
    </row>
    <row r="10" spans="1:11" x14ac:dyDescent="0.25">
      <c r="A10" s="63" t="s">
        <v>58</v>
      </c>
      <c r="B10" s="64">
        <v>114655.65</v>
      </c>
      <c r="C10" s="64">
        <v>104777.97</v>
      </c>
      <c r="D10" s="64">
        <v>150679.16</v>
      </c>
      <c r="E10" s="47">
        <f t="shared" si="0"/>
        <v>370112.78</v>
      </c>
      <c r="F10" s="36"/>
      <c r="J10" s="50">
        <f>165941.71-E10</f>
        <v>-204171.07000000004</v>
      </c>
      <c r="K10" s="51" t="s">
        <v>90</v>
      </c>
    </row>
    <row r="11" spans="1:11" x14ac:dyDescent="0.25">
      <c r="A11" s="63" t="s">
        <v>59</v>
      </c>
      <c r="B11" s="64">
        <v>46301.56</v>
      </c>
      <c r="C11" s="64">
        <v>57698.87</v>
      </c>
      <c r="D11" s="64">
        <v>54518.77</v>
      </c>
      <c r="E11" s="47">
        <f>SUM(B11:D11)</f>
        <v>158519.19999999998</v>
      </c>
      <c r="F11" s="36" t="s">
        <v>68</v>
      </c>
      <c r="J11" s="50">
        <f>201944.24+81461.44+129489.34-E11-E12</f>
        <v>0</v>
      </c>
      <c r="K11" s="51" t="s">
        <v>89</v>
      </c>
    </row>
    <row r="12" spans="1:11" x14ac:dyDescent="0.25">
      <c r="A12" s="63" t="s">
        <v>60</v>
      </c>
      <c r="B12" s="64">
        <v>74145.58</v>
      </c>
      <c r="C12" s="64">
        <v>85072.25</v>
      </c>
      <c r="D12" s="64">
        <v>95157.99</v>
      </c>
      <c r="E12" s="47">
        <f t="shared" ref="E12:E15" si="3">SUM(B12:D12)</f>
        <v>254375.82</v>
      </c>
      <c r="F12" s="36" t="s">
        <v>68</v>
      </c>
      <c r="K12" s="51"/>
    </row>
    <row r="13" spans="1:11" x14ac:dyDescent="0.25">
      <c r="A13" s="63" t="s">
        <v>61</v>
      </c>
      <c r="B13" s="64"/>
      <c r="C13" s="64"/>
      <c r="D13" s="64"/>
      <c r="E13" s="47">
        <f t="shared" si="3"/>
        <v>0</v>
      </c>
      <c r="F13" s="36"/>
      <c r="K13" s="51"/>
    </row>
    <row r="14" spans="1:11" x14ac:dyDescent="0.25">
      <c r="A14" s="63" t="s">
        <v>62</v>
      </c>
      <c r="B14" s="46">
        <v>15191.8</v>
      </c>
      <c r="C14" s="46">
        <v>18471.73</v>
      </c>
      <c r="D14" s="46">
        <v>21142.9</v>
      </c>
      <c r="E14" s="47">
        <f t="shared" si="3"/>
        <v>54806.43</v>
      </c>
      <c r="F14" s="48" t="s">
        <v>69</v>
      </c>
      <c r="G14" s="11" t="s">
        <v>70</v>
      </c>
      <c r="H14" s="11"/>
      <c r="I14" s="11"/>
      <c r="J14" s="50">
        <f>25984.49+28821.94-E14</f>
        <v>0</v>
      </c>
      <c r="K14" s="51" t="s">
        <v>91</v>
      </c>
    </row>
    <row r="15" spans="1:11" x14ac:dyDescent="0.25">
      <c r="A15" s="63" t="s">
        <v>63</v>
      </c>
      <c r="B15" s="64"/>
      <c r="C15" s="64"/>
      <c r="D15" s="64"/>
      <c r="E15" s="47">
        <f t="shared" si="3"/>
        <v>0</v>
      </c>
      <c r="F15" s="36"/>
    </row>
  </sheetData>
  <mergeCells count="2">
    <mergeCell ref="B1:D1"/>
    <mergeCell ref="J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88" sqref="A88"/>
    </sheetView>
  </sheetViews>
  <sheetFormatPr defaultRowHeight="15" x14ac:dyDescent="0.25"/>
  <cols>
    <col min="1" max="1" width="97.85546875" style="79" bestFit="1" customWidth="1"/>
    <col min="2" max="4" width="13.5703125" style="74" customWidth="1"/>
    <col min="5" max="5" width="13.5703125" style="75" customWidth="1"/>
    <col min="6" max="6" width="9.5703125" style="13" bestFit="1" customWidth="1"/>
    <col min="7" max="7" width="9.85546875" bestFit="1" customWidth="1"/>
  </cols>
  <sheetData>
    <row r="1" spans="1:6" x14ac:dyDescent="0.25">
      <c r="A1" s="73" t="s">
        <v>65</v>
      </c>
    </row>
    <row r="2" spans="1:6" x14ac:dyDescent="0.25">
      <c r="A2" s="76" t="s">
        <v>43</v>
      </c>
      <c r="B2" s="77" t="s">
        <v>87</v>
      </c>
      <c r="C2" s="77" t="s">
        <v>83</v>
      </c>
      <c r="D2" s="77" t="s">
        <v>84</v>
      </c>
      <c r="E2" s="78" t="s">
        <v>67</v>
      </c>
    </row>
    <row r="3" spans="1:6" ht="6.6" customHeight="1" x14ac:dyDescent="0.25"/>
    <row r="4" spans="1:6" s="75" customFormat="1" x14ac:dyDescent="0.25">
      <c r="A4" s="67" t="s">
        <v>44</v>
      </c>
      <c r="B4" s="68"/>
      <c r="C4" s="69"/>
      <c r="D4" s="68"/>
      <c r="E4" s="68"/>
      <c r="F4" s="83"/>
    </row>
    <row r="5" spans="1:6" s="75" customFormat="1" x14ac:dyDescent="0.25">
      <c r="A5" s="70" t="s">
        <v>77</v>
      </c>
      <c r="B5" s="71">
        <f>11627.97+3563.74</f>
        <v>15191.71</v>
      </c>
      <c r="C5" s="69">
        <f>15182.97+3288.48</f>
        <v>18471.45</v>
      </c>
      <c r="D5" s="71">
        <f>17111.83+4030.84</f>
        <v>21142.670000000002</v>
      </c>
      <c r="E5" s="72">
        <f>B5+C5+D5</f>
        <v>54805.83</v>
      </c>
      <c r="F5" s="83"/>
    </row>
    <row r="6" spans="1:6" s="75" customFormat="1" x14ac:dyDescent="0.25">
      <c r="A6" s="67"/>
      <c r="B6" s="68"/>
      <c r="C6" s="69"/>
      <c r="D6" s="68"/>
      <c r="E6" s="72"/>
      <c r="F6" s="83"/>
    </row>
    <row r="7" spans="1:6" s="65" customFormat="1" x14ac:dyDescent="0.25">
      <c r="A7" s="70" t="s">
        <v>73</v>
      </c>
      <c r="B7" s="71">
        <f>11627.97/3+3563.74/1.73</f>
        <v>5935.9553179190752</v>
      </c>
      <c r="C7" s="69">
        <f>15182.97/3+3288.48/1.73</f>
        <v>6961.845491329479</v>
      </c>
      <c r="D7" s="71">
        <f>17111.83/3+4030.84/1.73</f>
        <v>8033.9086512524091</v>
      </c>
      <c r="E7" s="72">
        <f t="shared" ref="E7:E11" si="0">B7+C7+D7</f>
        <v>20931.709460500962</v>
      </c>
      <c r="F7" s="82"/>
    </row>
    <row r="8" spans="1:6" s="65" customFormat="1" x14ac:dyDescent="0.25">
      <c r="A8" s="70"/>
      <c r="B8" s="71"/>
      <c r="C8" s="69"/>
      <c r="D8" s="71"/>
      <c r="E8" s="72"/>
      <c r="F8" s="82"/>
    </row>
    <row r="9" spans="1:6" s="65" customFormat="1" x14ac:dyDescent="0.25">
      <c r="A9" s="70" t="s">
        <v>37</v>
      </c>
      <c r="B9" s="71">
        <f>8332.34+2553.7</f>
        <v>10886.04</v>
      </c>
      <c r="C9" s="69">
        <f>11655.26+2524.41</f>
        <v>14179.67</v>
      </c>
      <c r="D9" s="71">
        <f>11893.71+2801.67</f>
        <v>14695.38</v>
      </c>
      <c r="E9" s="72">
        <f t="shared" si="0"/>
        <v>39761.089999999997</v>
      </c>
      <c r="F9" s="82"/>
    </row>
    <row r="10" spans="1:6" s="65" customFormat="1" x14ac:dyDescent="0.25">
      <c r="A10" s="70"/>
      <c r="B10" s="71"/>
      <c r="C10" s="69"/>
      <c r="D10" s="71"/>
      <c r="E10" s="72"/>
      <c r="F10" s="82"/>
    </row>
    <row r="11" spans="1:6" s="65" customFormat="1" x14ac:dyDescent="0.25">
      <c r="A11" s="70" t="s">
        <v>38</v>
      </c>
      <c r="B11" s="71">
        <f>3501.29-253.12+1073.07-77.58</f>
        <v>4243.66</v>
      </c>
      <c r="C11" s="69">
        <f>3881.95-326.12+840.79-70.63</f>
        <v>4325.99</v>
      </c>
      <c r="D11" s="71">
        <f>5836.39-618.26+1374.81-145.64</f>
        <v>6447.3</v>
      </c>
      <c r="E11" s="72">
        <f t="shared" si="0"/>
        <v>15016.95</v>
      </c>
      <c r="F11" s="82"/>
    </row>
    <row r="12" spans="1:6" s="65" customFormat="1" x14ac:dyDescent="0.25">
      <c r="A12" s="70"/>
      <c r="B12" s="71"/>
      <c r="C12" s="69"/>
      <c r="D12" s="71"/>
      <c r="E12" s="68"/>
      <c r="F12" s="82"/>
    </row>
    <row r="13" spans="1:6" s="65" customFormat="1" x14ac:dyDescent="0.25">
      <c r="A13" s="70" t="s">
        <v>39</v>
      </c>
      <c r="B13" s="71">
        <f>'Данные по УК'!B14</f>
        <v>15191.8</v>
      </c>
      <c r="C13" s="71">
        <f>'Данные по УК'!C14</f>
        <v>18471.73</v>
      </c>
      <c r="D13" s="71">
        <f>'Данные по УК'!D14</f>
        <v>21142.9</v>
      </c>
      <c r="E13" s="72">
        <f>SUM(B13:D13)</f>
        <v>54806.43</v>
      </c>
      <c r="F13" s="82"/>
    </row>
    <row r="14" spans="1:6" s="65" customFormat="1" x14ac:dyDescent="0.25">
      <c r="A14" s="70"/>
      <c r="B14" s="71"/>
      <c r="C14" s="69"/>
      <c r="D14" s="71"/>
      <c r="E14" s="68"/>
      <c r="F14" s="82"/>
    </row>
    <row r="15" spans="1:6" s="65" customFormat="1" x14ac:dyDescent="0.25">
      <c r="A15" s="70" t="s">
        <v>40</v>
      </c>
      <c r="B15" s="71">
        <v>0</v>
      </c>
      <c r="C15" s="69">
        <v>0</v>
      </c>
      <c r="D15" s="71">
        <v>0</v>
      </c>
      <c r="E15" s="72">
        <f>SUM(B15:D15)</f>
        <v>0</v>
      </c>
      <c r="F15" s="82"/>
    </row>
    <row r="16" spans="1:6" s="65" customFormat="1" x14ac:dyDescent="0.25">
      <c r="A16" s="70"/>
      <c r="B16" s="71"/>
      <c r="C16" s="69"/>
      <c r="D16" s="71"/>
      <c r="E16" s="68"/>
      <c r="F16" s="82"/>
    </row>
    <row r="17" spans="1:6" s="65" customFormat="1" x14ac:dyDescent="0.25">
      <c r="A17" s="70" t="s">
        <v>95</v>
      </c>
      <c r="B17" s="69">
        <f>B13-B15</f>
        <v>15191.8</v>
      </c>
      <c r="C17" s="69">
        <f t="shared" ref="C17:D17" si="1">C13-C15</f>
        <v>18471.73</v>
      </c>
      <c r="D17" s="69">
        <f t="shared" si="1"/>
        <v>21142.9</v>
      </c>
      <c r="E17" s="72">
        <f>SUM(B17:D17)</f>
        <v>54806.43</v>
      </c>
      <c r="F17" s="82"/>
    </row>
    <row r="18" spans="1:6" s="65" customFormat="1" x14ac:dyDescent="0.25">
      <c r="A18" s="70"/>
      <c r="B18" s="71"/>
      <c r="C18" s="69"/>
      <c r="D18" s="71"/>
      <c r="E18" s="68"/>
      <c r="F18" s="82"/>
    </row>
    <row r="19" spans="1:6" s="65" customFormat="1" x14ac:dyDescent="0.25">
      <c r="A19" s="70" t="s">
        <v>42</v>
      </c>
      <c r="B19" s="69">
        <v>0</v>
      </c>
      <c r="C19" s="69">
        <v>0</v>
      </c>
      <c r="D19" s="69">
        <v>0</v>
      </c>
      <c r="E19" s="72">
        <f t="shared" ref="E19" si="2">B19+C19+D19</f>
        <v>0</v>
      </c>
      <c r="F19" s="82"/>
    </row>
    <row r="20" spans="1:6" s="65" customFormat="1" x14ac:dyDescent="0.25">
      <c r="A20" s="70"/>
      <c r="B20" s="69"/>
      <c r="C20" s="69"/>
      <c r="D20" s="69"/>
      <c r="E20" s="72"/>
      <c r="F20" s="82"/>
    </row>
    <row r="21" spans="1:6" s="75" customFormat="1" x14ac:dyDescent="0.25">
      <c r="A21" s="67" t="s">
        <v>45</v>
      </c>
      <c r="B21" s="72"/>
      <c r="C21" s="69"/>
      <c r="D21" s="72"/>
      <c r="E21" s="72"/>
      <c r="F21" s="83"/>
    </row>
    <row r="22" spans="1:6" s="75" customFormat="1" x14ac:dyDescent="0.25">
      <c r="A22" s="70" t="s">
        <v>77</v>
      </c>
      <c r="B22" s="71">
        <f>32348.88+6102.72</f>
        <v>38451.599999999999</v>
      </c>
      <c r="C22" s="69">
        <f>36021.26+6030.99</f>
        <v>42052.25</v>
      </c>
      <c r="D22" s="71">
        <f>51911.61+2606.21</f>
        <v>54517.82</v>
      </c>
      <c r="E22" s="72">
        <f t="shared" ref="E22" si="3">B22+C22+D22</f>
        <v>135021.67000000001</v>
      </c>
      <c r="F22" s="83"/>
    </row>
    <row r="23" spans="1:6" s="75" customFormat="1" x14ac:dyDescent="0.25">
      <c r="A23" s="67"/>
      <c r="B23" s="68"/>
      <c r="C23" s="69"/>
      <c r="D23" s="68"/>
      <c r="E23" s="72"/>
      <c r="F23" s="83"/>
    </row>
    <row r="24" spans="1:6" s="65" customFormat="1" x14ac:dyDescent="0.25">
      <c r="A24" s="70" t="s">
        <v>74</v>
      </c>
      <c r="B24" s="69">
        <f>32348.88/25.44+6102.72/25.44</f>
        <v>1511.4622641509434</v>
      </c>
      <c r="C24" s="69">
        <f>C22/25.44</f>
        <v>1652.997248427673</v>
      </c>
      <c r="D24" s="69">
        <f>D22/25.44</f>
        <v>2142.9960691823899</v>
      </c>
      <c r="E24" s="72">
        <f t="shared" ref="E24" si="4">B24+C24+D24</f>
        <v>5307.4555817610062</v>
      </c>
      <c r="F24" s="82"/>
    </row>
    <row r="25" spans="1:6" s="65" customFormat="1" x14ac:dyDescent="0.25">
      <c r="A25" s="70"/>
      <c r="B25" s="69"/>
      <c r="C25" s="69"/>
      <c r="D25" s="69"/>
      <c r="E25" s="72"/>
      <c r="F25" s="82"/>
    </row>
    <row r="26" spans="1:6" s="65" customFormat="1" x14ac:dyDescent="0.25">
      <c r="A26" s="70" t="s">
        <v>37</v>
      </c>
      <c r="B26" s="69">
        <f>23180.48+4373.07</f>
        <v>27553.55</v>
      </c>
      <c r="C26" s="69">
        <f>27651.85+4629.71</f>
        <v>32281.559999999998</v>
      </c>
      <c r="D26" s="69">
        <f>36081.56+1811.47</f>
        <v>37893.03</v>
      </c>
      <c r="E26" s="72">
        <f t="shared" ref="E26:E28" si="5">B26+C26+D26</f>
        <v>97728.14</v>
      </c>
      <c r="F26" s="82"/>
    </row>
    <row r="27" spans="1:6" s="65" customFormat="1" x14ac:dyDescent="0.25">
      <c r="A27" s="70"/>
      <c r="B27" s="69"/>
      <c r="C27" s="69"/>
      <c r="D27" s="69"/>
      <c r="E27" s="72"/>
      <c r="F27" s="82"/>
    </row>
    <row r="28" spans="1:6" s="65" customFormat="1" x14ac:dyDescent="0.25">
      <c r="A28" s="70" t="s">
        <v>38</v>
      </c>
      <c r="B28" s="69">
        <f>9789.5-707.73+1837.58-132.85</f>
        <v>10786.5</v>
      </c>
      <c r="C28" s="69">
        <f>9209.84-773.71+1541.99-129.54</f>
        <v>9848.58</v>
      </c>
      <c r="D28" s="69">
        <f>17705.66-1875.61+888.91-94.14</f>
        <v>16624.82</v>
      </c>
      <c r="E28" s="72">
        <f t="shared" si="5"/>
        <v>37259.9</v>
      </c>
      <c r="F28" s="82"/>
    </row>
    <row r="29" spans="1:6" s="65" customFormat="1" x14ac:dyDescent="0.25">
      <c r="A29" s="70"/>
      <c r="B29" s="69"/>
      <c r="C29" s="69"/>
      <c r="D29" s="69"/>
      <c r="E29" s="72"/>
      <c r="F29" s="82"/>
    </row>
    <row r="30" spans="1:6" s="65" customFormat="1" x14ac:dyDescent="0.25">
      <c r="A30" s="70" t="s">
        <v>39</v>
      </c>
      <c r="B30" s="69">
        <f>'Данные по УК'!B11</f>
        <v>46301.56</v>
      </c>
      <c r="C30" s="69">
        <f>'Данные по УК'!C11</f>
        <v>57698.87</v>
      </c>
      <c r="D30" s="69">
        <f>'Данные по УК'!D11</f>
        <v>54518.77</v>
      </c>
      <c r="E30" s="72">
        <f>SUM(B30:D30)</f>
        <v>158519.19999999998</v>
      </c>
      <c r="F30" s="82"/>
    </row>
    <row r="31" spans="1:6" s="65" customFormat="1" x14ac:dyDescent="0.25">
      <c r="A31" s="70"/>
      <c r="B31" s="69"/>
      <c r="C31" s="69"/>
      <c r="D31" s="69"/>
      <c r="E31" s="72"/>
      <c r="F31" s="82"/>
    </row>
    <row r="32" spans="1:6" s="65" customFormat="1" x14ac:dyDescent="0.25">
      <c r="A32" s="70" t="s">
        <v>40</v>
      </c>
      <c r="B32" s="69">
        <v>0</v>
      </c>
      <c r="C32" s="69">
        <v>0</v>
      </c>
      <c r="D32" s="69">
        <v>0</v>
      </c>
      <c r="E32" s="72">
        <f>SUM(B32:D32)</f>
        <v>0</v>
      </c>
      <c r="F32" s="82"/>
    </row>
    <row r="33" spans="1:6" s="65" customFormat="1" x14ac:dyDescent="0.25">
      <c r="A33" s="70"/>
      <c r="B33" s="69"/>
      <c r="C33" s="69"/>
      <c r="D33" s="69"/>
      <c r="E33" s="72"/>
      <c r="F33" s="82"/>
    </row>
    <row r="34" spans="1:6" s="65" customFormat="1" x14ac:dyDescent="0.25">
      <c r="A34" s="70" t="s">
        <v>41</v>
      </c>
      <c r="B34" s="69">
        <f>B30-B32</f>
        <v>46301.56</v>
      </c>
      <c r="C34" s="69">
        <f t="shared" ref="C34:D34" si="6">C30-C32</f>
        <v>57698.87</v>
      </c>
      <c r="D34" s="69">
        <f t="shared" si="6"/>
        <v>54518.77</v>
      </c>
      <c r="E34" s="72">
        <f>SUM(B34:D34)</f>
        <v>158519.19999999998</v>
      </c>
      <c r="F34" s="82"/>
    </row>
    <row r="35" spans="1:6" s="65" customFormat="1" x14ac:dyDescent="0.25">
      <c r="A35" s="70"/>
      <c r="B35" s="69"/>
      <c r="C35" s="69"/>
      <c r="D35" s="69"/>
      <c r="E35" s="72"/>
      <c r="F35" s="82"/>
    </row>
    <row r="36" spans="1:6" s="65" customFormat="1" x14ac:dyDescent="0.25">
      <c r="A36" s="70" t="s">
        <v>42</v>
      </c>
      <c r="B36" s="69">
        <v>0</v>
      </c>
      <c r="C36" s="69">
        <v>0</v>
      </c>
      <c r="D36" s="69">
        <v>0</v>
      </c>
      <c r="E36" s="72">
        <f>B36+C36+D36</f>
        <v>0</v>
      </c>
      <c r="F36" s="82"/>
    </row>
    <row r="37" spans="1:6" s="65" customFormat="1" x14ac:dyDescent="0.25">
      <c r="A37" s="70"/>
      <c r="B37" s="69"/>
      <c r="C37" s="69"/>
      <c r="D37" s="69"/>
      <c r="E37" s="72"/>
      <c r="F37" s="82"/>
    </row>
    <row r="38" spans="1:6" s="74" customFormat="1" x14ac:dyDescent="0.25">
      <c r="A38" s="67" t="s">
        <v>46</v>
      </c>
      <c r="B38" s="69"/>
      <c r="C38" s="69"/>
      <c r="D38" s="69"/>
      <c r="E38" s="69"/>
      <c r="F38" s="82"/>
    </row>
    <row r="39" spans="1:6" s="75" customFormat="1" x14ac:dyDescent="0.25">
      <c r="A39" s="70" t="s">
        <v>77</v>
      </c>
      <c r="B39" s="71">
        <v>370177.59</v>
      </c>
      <c r="C39" s="69">
        <v>395480.01</v>
      </c>
      <c r="D39" s="71">
        <v>555777.62</v>
      </c>
      <c r="E39" s="72">
        <f>SUM(B39:D39)</f>
        <v>1321435.2200000002</v>
      </c>
      <c r="F39" s="83"/>
    </row>
    <row r="40" spans="1:6" s="75" customFormat="1" x14ac:dyDescent="0.25">
      <c r="A40" s="67"/>
      <c r="B40" s="68"/>
      <c r="C40" s="69"/>
      <c r="D40" s="68"/>
      <c r="E40" s="68"/>
      <c r="F40" s="83"/>
    </row>
    <row r="41" spans="1:6" s="65" customFormat="1" x14ac:dyDescent="0.25">
      <c r="A41" s="70" t="s">
        <v>75</v>
      </c>
      <c r="B41" s="69">
        <f>370177.59/1621.95</f>
        <v>228.22996393230372</v>
      </c>
      <c r="C41" s="69">
        <v>243.83</v>
      </c>
      <c r="D41" s="69">
        <v>342.66</v>
      </c>
      <c r="E41" s="72">
        <f>SUM(B41:D41)</f>
        <v>814.7199639323037</v>
      </c>
      <c r="F41" s="82"/>
    </row>
    <row r="42" spans="1:6" s="65" customFormat="1" x14ac:dyDescent="0.25">
      <c r="A42" s="70"/>
      <c r="B42" s="69"/>
      <c r="C42" s="69"/>
      <c r="D42" s="69"/>
      <c r="E42" s="72"/>
      <c r="F42" s="82"/>
    </row>
    <row r="43" spans="1:6" s="65" customFormat="1" x14ac:dyDescent="0.25">
      <c r="A43" s="70" t="s">
        <v>37</v>
      </c>
      <c r="B43" s="69">
        <v>265260.93</v>
      </c>
      <c r="C43" s="69">
        <v>303591.7</v>
      </c>
      <c r="D43" s="69">
        <v>386297.43</v>
      </c>
      <c r="E43" s="72">
        <f>SUM(B43:D43)</f>
        <v>955150.06</v>
      </c>
      <c r="F43" s="82"/>
    </row>
    <row r="44" spans="1:6" s="65" customFormat="1" x14ac:dyDescent="0.25">
      <c r="A44" s="70"/>
      <c r="B44" s="69"/>
      <c r="C44" s="69"/>
      <c r="D44" s="69"/>
      <c r="E44" s="72"/>
      <c r="F44" s="82"/>
    </row>
    <row r="45" spans="1:6" s="65" customFormat="1" x14ac:dyDescent="0.25">
      <c r="A45" s="70" t="s">
        <v>38</v>
      </c>
      <c r="B45" s="69">
        <f>111463.76-8058.2</f>
        <v>103405.56</v>
      </c>
      <c r="C45" s="69">
        <f>101115.54-8494.66</f>
        <v>92620.87999999999</v>
      </c>
      <c r="D45" s="69">
        <f>189560.86-20080.7</f>
        <v>169480.15999999997</v>
      </c>
      <c r="E45" s="72">
        <f>SUM(B45:D45)</f>
        <v>365506.6</v>
      </c>
      <c r="F45" s="82"/>
    </row>
    <row r="46" spans="1:6" s="65" customFormat="1" x14ac:dyDescent="0.25">
      <c r="A46" s="70"/>
      <c r="B46" s="69"/>
      <c r="C46" s="69"/>
      <c r="D46" s="69"/>
      <c r="E46" s="72"/>
      <c r="F46" s="82"/>
    </row>
    <row r="47" spans="1:6" s="65" customFormat="1" x14ac:dyDescent="0.25">
      <c r="A47" s="70" t="s">
        <v>39</v>
      </c>
      <c r="B47" s="69">
        <f>'Данные по УК'!B7</f>
        <v>368215.09</v>
      </c>
      <c r="C47" s="69">
        <f>'Данные по УК'!C7</f>
        <v>393517.5</v>
      </c>
      <c r="D47" s="69">
        <f>'Данные по УК'!D7</f>
        <v>554788</v>
      </c>
      <c r="E47" s="72">
        <f>SUM(B47:D47)</f>
        <v>1316520.5900000001</v>
      </c>
      <c r="F47" s="84"/>
    </row>
    <row r="48" spans="1:6" s="65" customFormat="1" x14ac:dyDescent="0.25">
      <c r="A48" s="70"/>
      <c r="B48" s="69"/>
      <c r="C48" s="69"/>
      <c r="D48" s="69"/>
      <c r="E48" s="72"/>
      <c r="F48" s="82"/>
    </row>
    <row r="49" spans="1:6" s="65" customFormat="1" x14ac:dyDescent="0.25">
      <c r="A49" s="70" t="s">
        <v>40</v>
      </c>
      <c r="B49" s="69">
        <v>0</v>
      </c>
      <c r="C49" s="69">
        <v>0</v>
      </c>
      <c r="D49" s="69">
        <v>0</v>
      </c>
      <c r="E49" s="72">
        <f>SUM(B49:D49)</f>
        <v>0</v>
      </c>
      <c r="F49" s="82"/>
    </row>
    <row r="50" spans="1:6" s="65" customFormat="1" x14ac:dyDescent="0.25">
      <c r="A50" s="70"/>
      <c r="B50" s="69"/>
      <c r="C50" s="69"/>
      <c r="D50" s="69"/>
      <c r="E50" s="72"/>
      <c r="F50" s="82"/>
    </row>
    <row r="51" spans="1:6" s="65" customFormat="1" x14ac:dyDescent="0.25">
      <c r="A51" s="70" t="s">
        <v>41</v>
      </c>
      <c r="B51" s="69">
        <f>B47-B49</f>
        <v>368215.09</v>
      </c>
      <c r="C51" s="69">
        <f t="shared" ref="C51:D51" si="7">C47-C49</f>
        <v>393517.5</v>
      </c>
      <c r="D51" s="69">
        <f t="shared" si="7"/>
        <v>554788</v>
      </c>
      <c r="E51" s="72">
        <f>SUM(B51:D51)</f>
        <v>1316520.5900000001</v>
      </c>
      <c r="F51" s="82"/>
    </row>
    <row r="52" spans="1:6" s="65" customFormat="1" x14ac:dyDescent="0.25">
      <c r="A52" s="70"/>
      <c r="B52" s="69"/>
      <c r="C52" s="69"/>
      <c r="D52" s="69"/>
      <c r="E52" s="72"/>
      <c r="F52" s="82"/>
    </row>
    <row r="53" spans="1:6" s="65" customFormat="1" x14ac:dyDescent="0.25">
      <c r="A53" s="70" t="s">
        <v>42</v>
      </c>
      <c r="B53" s="69">
        <v>0</v>
      </c>
      <c r="C53" s="69">
        <v>0</v>
      </c>
      <c r="D53" s="69">
        <v>0</v>
      </c>
      <c r="E53" s="72">
        <f>B53+C53+D53</f>
        <v>0</v>
      </c>
      <c r="F53" s="82"/>
    </row>
    <row r="54" spans="1:6" s="65" customFormat="1" x14ac:dyDescent="0.25">
      <c r="A54" s="70"/>
      <c r="B54" s="69"/>
      <c r="C54" s="69"/>
      <c r="D54" s="69"/>
      <c r="E54" s="72"/>
      <c r="F54" s="82"/>
    </row>
    <row r="55" spans="1:6" s="74" customFormat="1" x14ac:dyDescent="0.25">
      <c r="A55" s="67" t="s">
        <v>47</v>
      </c>
      <c r="B55" s="69"/>
      <c r="C55" s="69"/>
      <c r="D55" s="69"/>
      <c r="E55" s="72"/>
      <c r="F55" s="82"/>
    </row>
    <row r="56" spans="1:6" s="75" customFormat="1" x14ac:dyDescent="0.25">
      <c r="A56" s="70" t="s">
        <v>77</v>
      </c>
      <c r="B56" s="71">
        <f>92217.83+11217.05</f>
        <v>103434.88</v>
      </c>
      <c r="C56" s="69">
        <f>94020.87+7825.09</f>
        <v>101845.95999999999</v>
      </c>
      <c r="D56" s="71">
        <f>139304.52+167.65</f>
        <v>139472.16999999998</v>
      </c>
      <c r="E56" s="72">
        <f>SUM(B56:D56)</f>
        <v>344753.01</v>
      </c>
      <c r="F56" s="83"/>
    </row>
    <row r="57" spans="1:6" s="75" customFormat="1" x14ac:dyDescent="0.25">
      <c r="A57" s="67"/>
      <c r="B57" s="68"/>
      <c r="C57" s="69"/>
      <c r="D57" s="68"/>
      <c r="E57" s="68"/>
      <c r="F57" s="83"/>
    </row>
    <row r="58" spans="1:6" s="65" customFormat="1" x14ac:dyDescent="0.25">
      <c r="A58" s="70" t="s">
        <v>75</v>
      </c>
      <c r="B58" s="69">
        <f>B56/97.32</f>
        <v>1062.832716810522</v>
      </c>
      <c r="C58" s="69">
        <f>C56/97.32</f>
        <v>1046.5059597205097</v>
      </c>
      <c r="D58" s="69">
        <f>D56/97.32</f>
        <v>1433.1295725441842</v>
      </c>
      <c r="E58" s="72">
        <f>SUM(B58:D58)</f>
        <v>3542.4682490752157</v>
      </c>
      <c r="F58" s="82"/>
    </row>
    <row r="59" spans="1:6" s="65" customFormat="1" x14ac:dyDescent="0.25">
      <c r="A59" s="70"/>
      <c r="B59" s="69"/>
      <c r="C59" s="69"/>
      <c r="D59" s="69"/>
      <c r="E59" s="72"/>
      <c r="F59" s="82"/>
    </row>
    <row r="60" spans="1:6" s="65" customFormat="1" x14ac:dyDescent="0.25">
      <c r="A60" s="70" t="s">
        <v>37</v>
      </c>
      <c r="B60" s="69">
        <f>66081.22+8037.89</f>
        <v>74119.11</v>
      </c>
      <c r="C60" s="69">
        <f>72175.47+6006.96</f>
        <v>78182.430000000008</v>
      </c>
      <c r="D60" s="69">
        <f>96824.66+116.53</f>
        <v>96941.19</v>
      </c>
      <c r="E60" s="72">
        <f>SUM(B60:D60)</f>
        <v>249242.73</v>
      </c>
      <c r="F60" s="82"/>
    </row>
    <row r="61" spans="1:6" s="65" customFormat="1" x14ac:dyDescent="0.25">
      <c r="A61" s="70"/>
      <c r="B61" s="69"/>
      <c r="C61" s="69"/>
      <c r="D61" s="69"/>
      <c r="E61" s="72"/>
      <c r="F61" s="82"/>
    </row>
    <row r="62" spans="1:6" s="65" customFormat="1" x14ac:dyDescent="0.25">
      <c r="A62" s="70" t="s">
        <v>38</v>
      </c>
      <c r="B62" s="69">
        <f>27767.61-2007.44+3377.55-244.18</f>
        <v>28893.54</v>
      </c>
      <c r="C62" s="69">
        <f>24039.07-2019.51+2000.7-168.08</f>
        <v>23852.18</v>
      </c>
      <c r="D62" s="69">
        <f>47513.05-5033.19+57.18-6.06</f>
        <v>42530.98</v>
      </c>
      <c r="E62" s="72">
        <f>SUM(B62:D62)</f>
        <v>95276.700000000012</v>
      </c>
      <c r="F62" s="82"/>
    </row>
    <row r="63" spans="1:6" s="65" customFormat="1" x14ac:dyDescent="0.25">
      <c r="A63" s="70"/>
      <c r="B63" s="69"/>
      <c r="C63" s="69"/>
      <c r="D63" s="69"/>
      <c r="E63" s="72"/>
      <c r="F63" s="82"/>
    </row>
    <row r="64" spans="1:6" s="65" customFormat="1" x14ac:dyDescent="0.25">
      <c r="A64" s="70" t="s">
        <v>39</v>
      </c>
      <c r="B64" s="69">
        <f>'Данные по УК'!B10</f>
        <v>114655.65</v>
      </c>
      <c r="C64" s="69">
        <f>'Данные по УК'!C10</f>
        <v>104777.97</v>
      </c>
      <c r="D64" s="69">
        <f>'Данные по УК'!D10</f>
        <v>150679.16</v>
      </c>
      <c r="E64" s="72">
        <f>SUM(B64:D64)</f>
        <v>370112.78</v>
      </c>
      <c r="F64" s="84"/>
    </row>
    <row r="65" spans="1:6" s="65" customFormat="1" x14ac:dyDescent="0.25">
      <c r="A65" s="70"/>
      <c r="B65" s="69"/>
      <c r="C65" s="69"/>
      <c r="D65" s="69"/>
      <c r="E65" s="72"/>
      <c r="F65" s="82"/>
    </row>
    <row r="66" spans="1:6" s="65" customFormat="1" x14ac:dyDescent="0.25">
      <c r="A66" s="70" t="s">
        <v>40</v>
      </c>
      <c r="B66" s="69">
        <v>0</v>
      </c>
      <c r="C66" s="69">
        <v>0</v>
      </c>
      <c r="D66" s="69">
        <v>0</v>
      </c>
      <c r="E66" s="72">
        <f>SUM(B66:D66)</f>
        <v>0</v>
      </c>
      <c r="F66" s="82"/>
    </row>
    <row r="67" spans="1:6" s="65" customFormat="1" x14ac:dyDescent="0.25">
      <c r="A67" s="70"/>
      <c r="B67" s="69"/>
      <c r="C67" s="69"/>
      <c r="D67" s="69"/>
      <c r="E67" s="72"/>
      <c r="F67" s="82"/>
    </row>
    <row r="68" spans="1:6" s="65" customFormat="1" x14ac:dyDescent="0.25">
      <c r="A68" s="70" t="s">
        <v>41</v>
      </c>
      <c r="B68" s="69">
        <f>B64-B66</f>
        <v>114655.65</v>
      </c>
      <c r="C68" s="69">
        <f t="shared" ref="C68:D68" si="8">C64-C66</f>
        <v>104777.97</v>
      </c>
      <c r="D68" s="69">
        <f t="shared" si="8"/>
        <v>150679.16</v>
      </c>
      <c r="E68" s="72">
        <f>SUM(B68:D68)</f>
        <v>370112.78</v>
      </c>
      <c r="F68" s="82"/>
    </row>
    <row r="69" spans="1:6" s="65" customFormat="1" x14ac:dyDescent="0.25">
      <c r="A69" s="70"/>
      <c r="B69" s="69"/>
      <c r="C69" s="69"/>
      <c r="D69" s="69"/>
      <c r="E69" s="72"/>
      <c r="F69" s="82"/>
    </row>
    <row r="70" spans="1:6" s="65" customFormat="1" x14ac:dyDescent="0.25">
      <c r="A70" s="70" t="s">
        <v>42</v>
      </c>
      <c r="B70" s="69">
        <v>0</v>
      </c>
      <c r="C70" s="69">
        <v>0</v>
      </c>
      <c r="D70" s="69">
        <v>0</v>
      </c>
      <c r="E70" s="72">
        <f>SUM(B70:D70)</f>
        <v>0</v>
      </c>
      <c r="F70" s="82"/>
    </row>
    <row r="71" spans="1:6" s="65" customFormat="1" x14ac:dyDescent="0.25">
      <c r="A71" s="70"/>
      <c r="B71" s="69"/>
      <c r="C71" s="69"/>
      <c r="D71" s="69"/>
      <c r="E71" s="72"/>
      <c r="F71" s="82"/>
    </row>
    <row r="72" spans="1:6" s="74" customFormat="1" x14ac:dyDescent="0.25">
      <c r="A72" s="67" t="s">
        <v>48</v>
      </c>
      <c r="B72" s="69"/>
      <c r="C72" s="69"/>
      <c r="D72" s="69"/>
      <c r="E72" s="72"/>
      <c r="F72" s="82"/>
    </row>
    <row r="73" spans="1:6" s="75" customFormat="1" x14ac:dyDescent="0.25">
      <c r="A73" s="70" t="s">
        <v>77</v>
      </c>
      <c r="B73" s="71">
        <f>56467.34</f>
        <v>56467.34</v>
      </c>
      <c r="C73" s="69">
        <v>60664.19</v>
      </c>
      <c r="D73" s="71">
        <v>88331.57</v>
      </c>
      <c r="E73" s="72">
        <f>SUM(B73:D73)</f>
        <v>205463.1</v>
      </c>
      <c r="F73" s="83"/>
    </row>
    <row r="74" spans="1:6" s="75" customFormat="1" x14ac:dyDescent="0.25">
      <c r="A74" s="67"/>
      <c r="B74" s="68"/>
      <c r="C74" s="69"/>
      <c r="D74" s="68"/>
      <c r="E74" s="68"/>
      <c r="F74" s="83"/>
    </row>
    <row r="75" spans="1:6" s="65" customFormat="1" x14ac:dyDescent="0.25">
      <c r="A75" s="70" t="s">
        <v>74</v>
      </c>
      <c r="B75" s="69">
        <f>B73/25.44</f>
        <v>2219.6281446540879</v>
      </c>
      <c r="C75" s="69">
        <f>C73/25.44</f>
        <v>2384.5986635220124</v>
      </c>
      <c r="D75" s="69">
        <f>D73/25.44</f>
        <v>3472.1529088050315</v>
      </c>
      <c r="E75" s="72">
        <f>SUM(B75:D75)</f>
        <v>8076.3797169811314</v>
      </c>
      <c r="F75" s="82"/>
    </row>
    <row r="76" spans="1:6" s="65" customFormat="1" x14ac:dyDescent="0.25">
      <c r="A76" s="70"/>
      <c r="B76" s="69"/>
      <c r="C76" s="69"/>
      <c r="D76" s="69"/>
      <c r="E76" s="72"/>
      <c r="F76" s="82"/>
    </row>
    <row r="77" spans="1:6" s="65" customFormat="1" x14ac:dyDescent="0.25">
      <c r="A77" s="70" t="s">
        <v>37</v>
      </c>
      <c r="B77" s="69">
        <v>40463.22</v>
      </c>
      <c r="C77" s="69">
        <f>46569.09</f>
        <v>46569.09</v>
      </c>
      <c r="D77" s="69">
        <v>61395.53</v>
      </c>
      <c r="E77" s="72">
        <f>SUM(B77:D77)</f>
        <v>148427.84</v>
      </c>
      <c r="F77" s="82"/>
    </row>
    <row r="78" spans="1:6" s="65" customFormat="1" x14ac:dyDescent="0.25">
      <c r="A78" s="70"/>
      <c r="B78" s="69"/>
      <c r="C78" s="69"/>
      <c r="D78" s="69"/>
      <c r="E78" s="72"/>
      <c r="F78" s="82"/>
    </row>
    <row r="79" spans="1:6" s="65" customFormat="1" x14ac:dyDescent="0.25">
      <c r="A79" s="70" t="s">
        <v>38</v>
      </c>
      <c r="B79" s="69">
        <f>17022.82-1229.21</f>
        <v>15793.61</v>
      </c>
      <c r="C79" s="69">
        <f>15510.5-1303.03</f>
        <v>14207.47</v>
      </c>
      <c r="D79" s="69">
        <f>30127.54-3191.49</f>
        <v>26936.050000000003</v>
      </c>
      <c r="E79" s="72">
        <f>SUM(B79:D79)</f>
        <v>56937.130000000005</v>
      </c>
      <c r="F79" s="82"/>
    </row>
    <row r="80" spans="1:6" s="65" customFormat="1" x14ac:dyDescent="0.25">
      <c r="A80" s="70"/>
      <c r="B80" s="69"/>
      <c r="C80" s="69"/>
      <c r="D80" s="69"/>
      <c r="E80" s="72"/>
      <c r="F80" s="82"/>
    </row>
    <row r="81" spans="1:6" s="65" customFormat="1" x14ac:dyDescent="0.25">
      <c r="A81" s="70" t="s">
        <v>39</v>
      </c>
      <c r="B81" s="69">
        <f>'Данные по УК'!B12</f>
        <v>74145.58</v>
      </c>
      <c r="C81" s="69">
        <f>'Данные по УК'!C12</f>
        <v>85072.25</v>
      </c>
      <c r="D81" s="69">
        <f>'Данные по УК'!D12</f>
        <v>95157.99</v>
      </c>
      <c r="E81" s="72">
        <f>SUM(B81:D81)</f>
        <v>254375.82</v>
      </c>
      <c r="F81" s="82"/>
    </row>
    <row r="82" spans="1:6" s="65" customFormat="1" x14ac:dyDescent="0.25">
      <c r="A82" s="70"/>
      <c r="B82" s="69"/>
      <c r="C82" s="69"/>
      <c r="D82" s="69"/>
      <c r="E82" s="72"/>
      <c r="F82" s="82"/>
    </row>
    <row r="83" spans="1:6" s="65" customFormat="1" x14ac:dyDescent="0.25">
      <c r="A83" s="70" t="s">
        <v>40</v>
      </c>
      <c r="B83" s="69">
        <v>0</v>
      </c>
      <c r="C83" s="69">
        <v>0</v>
      </c>
      <c r="D83" s="69">
        <v>0</v>
      </c>
      <c r="E83" s="72">
        <f>SUM(B83:D83)</f>
        <v>0</v>
      </c>
      <c r="F83" s="82"/>
    </row>
    <row r="84" spans="1:6" s="65" customFormat="1" x14ac:dyDescent="0.25">
      <c r="A84" s="70"/>
      <c r="B84" s="69"/>
      <c r="C84" s="69"/>
      <c r="D84" s="69"/>
      <c r="E84" s="72"/>
      <c r="F84" s="82"/>
    </row>
    <row r="85" spans="1:6" s="65" customFormat="1" x14ac:dyDescent="0.25">
      <c r="A85" s="70" t="s">
        <v>41</v>
      </c>
      <c r="B85" s="69">
        <f>B81-B83</f>
        <v>74145.58</v>
      </c>
      <c r="C85" s="69">
        <f t="shared" ref="C85:D85" si="9">C81-C83</f>
        <v>85072.25</v>
      </c>
      <c r="D85" s="69">
        <f t="shared" si="9"/>
        <v>95157.99</v>
      </c>
      <c r="E85" s="72">
        <f>SUM(B85:D85)</f>
        <v>254375.82</v>
      </c>
      <c r="F85" s="82"/>
    </row>
    <row r="86" spans="1:6" s="65" customFormat="1" x14ac:dyDescent="0.25">
      <c r="A86" s="70"/>
      <c r="B86" s="69"/>
      <c r="C86" s="69"/>
      <c r="D86" s="69"/>
      <c r="E86" s="72"/>
      <c r="F86" s="82"/>
    </row>
    <row r="87" spans="1:6" s="65" customFormat="1" x14ac:dyDescent="0.25">
      <c r="A87" s="70" t="s">
        <v>42</v>
      </c>
      <c r="B87" s="69">
        <v>0</v>
      </c>
      <c r="C87" s="69">
        <v>0</v>
      </c>
      <c r="D87" s="69">
        <v>0</v>
      </c>
      <c r="E87" s="72">
        <f>SUM(B87:D87)</f>
        <v>0</v>
      </c>
      <c r="F87" s="82"/>
    </row>
    <row r="88" spans="1:6" x14ac:dyDescent="0.25">
      <c r="A88" s="80"/>
      <c r="B88" s="69"/>
      <c r="C88" s="69"/>
      <c r="D88" s="69"/>
      <c r="E88" s="72"/>
    </row>
    <row r="89" spans="1:6" x14ac:dyDescent="0.25">
      <c r="C89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7" sqref="A7"/>
    </sheetView>
  </sheetViews>
  <sheetFormatPr defaultRowHeight="15" x14ac:dyDescent="0.25"/>
  <cols>
    <col min="1" max="1" width="95.7109375" customWidth="1"/>
    <col min="2" max="2" width="12.7109375" customWidth="1"/>
    <col min="3" max="3" width="10.85546875" customWidth="1"/>
    <col min="4" max="4" width="11.7109375" customWidth="1"/>
    <col min="5" max="5" width="13.28515625" customWidth="1"/>
  </cols>
  <sheetData>
    <row r="1" spans="1:5" ht="15.75" thickBot="1" x14ac:dyDescent="0.3">
      <c r="A1" s="42" t="s">
        <v>65</v>
      </c>
      <c r="B1" s="85" t="s">
        <v>78</v>
      </c>
    </row>
    <row r="2" spans="1:5" ht="20.100000000000001" customHeight="1" thickBot="1" x14ac:dyDescent="0.3">
      <c r="A2" s="44" t="s">
        <v>54</v>
      </c>
      <c r="B2" s="8" t="s">
        <v>86</v>
      </c>
      <c r="C2" s="39"/>
      <c r="D2" s="20" t="s">
        <v>84</v>
      </c>
      <c r="E2" s="21" t="s">
        <v>67</v>
      </c>
    </row>
    <row r="3" spans="1:5" x14ac:dyDescent="0.25">
      <c r="A3" s="43" t="s">
        <v>21</v>
      </c>
      <c r="B3" s="15">
        <v>24142.46</v>
      </c>
      <c r="C3" s="40">
        <v>24086.3</v>
      </c>
      <c r="D3" s="17">
        <f>35606.14</f>
        <v>35606.14</v>
      </c>
      <c r="E3" s="18"/>
    </row>
    <row r="4" spans="1:5" ht="14.45" customHeight="1" x14ac:dyDescent="0.25">
      <c r="A4" s="43" t="s">
        <v>30</v>
      </c>
      <c r="B4" s="15">
        <f>109537.52+61568.82+6536.34</f>
        <v>177642.68</v>
      </c>
      <c r="C4" s="41">
        <f>109282.1+61425.1+6521.22</f>
        <v>177228.42</v>
      </c>
      <c r="D4" s="15">
        <f>161548.16+90802.54+9640.42</f>
        <v>261991.12000000002</v>
      </c>
      <c r="E4" s="16"/>
    </row>
    <row r="5" spans="1:5" x14ac:dyDescent="0.25">
      <c r="A5" s="43" t="s">
        <v>20</v>
      </c>
      <c r="B5" s="15"/>
      <c r="C5" s="41"/>
      <c r="D5" s="15">
        <v>0</v>
      </c>
      <c r="E5" s="16"/>
    </row>
    <row r="6" spans="1:5" ht="14.45" customHeight="1" x14ac:dyDescent="0.25">
      <c r="A6" s="43" t="s">
        <v>23</v>
      </c>
      <c r="B6" s="15"/>
      <c r="C6" s="41"/>
      <c r="D6" s="15">
        <v>0</v>
      </c>
      <c r="E6" s="16"/>
    </row>
    <row r="7" spans="1:5" ht="14.45" customHeight="1" x14ac:dyDescent="0.25">
      <c r="A7" s="43" t="s">
        <v>24</v>
      </c>
      <c r="B7" s="15"/>
      <c r="C7" s="41"/>
      <c r="D7" s="15">
        <v>0</v>
      </c>
      <c r="E7" s="16"/>
    </row>
    <row r="8" spans="1:5" ht="14.45" customHeight="1" x14ac:dyDescent="0.25">
      <c r="A8" s="43" t="s">
        <v>29</v>
      </c>
      <c r="B8" s="15"/>
      <c r="C8" s="41"/>
      <c r="D8" s="15">
        <v>0</v>
      </c>
      <c r="E8" s="16"/>
    </row>
    <row r="9" spans="1:5" ht="14.45" customHeight="1" x14ac:dyDescent="0.25">
      <c r="A9" s="43" t="s">
        <v>28</v>
      </c>
      <c r="B9" s="15"/>
      <c r="C9" s="41"/>
      <c r="D9" s="15">
        <v>0</v>
      </c>
      <c r="E9" s="16"/>
    </row>
    <row r="10" spans="1:5" x14ac:dyDescent="0.25">
      <c r="A10" s="43" t="s">
        <v>19</v>
      </c>
      <c r="B10" s="15">
        <v>14337.9</v>
      </c>
      <c r="C10" s="41">
        <v>14304.5</v>
      </c>
      <c r="D10" s="15">
        <v>21062.98</v>
      </c>
      <c r="E10" s="22"/>
    </row>
    <row r="11" spans="1:5" x14ac:dyDescent="0.25">
      <c r="A11" s="43" t="s">
        <v>18</v>
      </c>
      <c r="B11" s="15">
        <v>20330.740000000002</v>
      </c>
      <c r="C11" s="41">
        <v>20375.48</v>
      </c>
      <c r="D11" s="15">
        <v>36544.86</v>
      </c>
      <c r="E11" s="22"/>
    </row>
    <row r="12" spans="1:5" x14ac:dyDescent="0.25">
      <c r="A12" s="43" t="s">
        <v>27</v>
      </c>
      <c r="B12" s="15"/>
      <c r="C12" s="41"/>
      <c r="D12" s="15">
        <v>0</v>
      </c>
      <c r="E12" s="16"/>
    </row>
    <row r="13" spans="1:5" x14ac:dyDescent="0.25">
      <c r="A13" s="43" t="s">
        <v>26</v>
      </c>
      <c r="B13" s="15"/>
      <c r="C13" s="41"/>
      <c r="D13" s="15">
        <v>0</v>
      </c>
      <c r="E13" s="16"/>
    </row>
    <row r="14" spans="1:5" x14ac:dyDescent="0.25">
      <c r="A14" s="43" t="s">
        <v>25</v>
      </c>
      <c r="B14" s="15"/>
      <c r="C14" s="41"/>
      <c r="D14" s="15">
        <v>0</v>
      </c>
      <c r="E14" s="16"/>
    </row>
    <row r="15" spans="1:5" ht="14.45" customHeight="1" x14ac:dyDescent="0.25">
      <c r="A15" s="43" t="s">
        <v>22</v>
      </c>
      <c r="B15" s="15">
        <v>16024.68</v>
      </c>
      <c r="C15" s="41">
        <v>15987.42</v>
      </c>
      <c r="D15" s="15">
        <v>23634</v>
      </c>
      <c r="E15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22" sqref="E22"/>
    </sheetView>
  </sheetViews>
  <sheetFormatPr defaultRowHeight="15" x14ac:dyDescent="0.25"/>
  <cols>
    <col min="1" max="1" width="5.5703125" customWidth="1"/>
    <col min="2" max="2" width="55.7109375" customWidth="1"/>
    <col min="3" max="3" width="13.7109375" customWidth="1"/>
    <col min="4" max="5" width="11.85546875" customWidth="1"/>
    <col min="6" max="6" width="13.28515625" customWidth="1"/>
  </cols>
  <sheetData>
    <row r="1" spans="1:6" x14ac:dyDescent="0.25">
      <c r="B1" s="4" t="s">
        <v>65</v>
      </c>
    </row>
    <row r="2" spans="1:6" ht="15.75" thickBot="1" x14ac:dyDescent="0.3">
      <c r="B2" s="3" t="s">
        <v>31</v>
      </c>
    </row>
    <row r="3" spans="1:6" ht="20.100000000000001" customHeight="1" thickBot="1" x14ac:dyDescent="0.3">
      <c r="B3" s="5" t="s">
        <v>17</v>
      </c>
      <c r="C3" s="19" t="s">
        <v>87</v>
      </c>
      <c r="D3" s="20" t="s">
        <v>83</v>
      </c>
      <c r="E3" s="20" t="s">
        <v>84</v>
      </c>
      <c r="F3" s="21" t="s">
        <v>67</v>
      </c>
    </row>
    <row r="4" spans="1:6" x14ac:dyDescent="0.25">
      <c r="A4" s="6">
        <v>1</v>
      </c>
      <c r="B4" s="23" t="s">
        <v>21</v>
      </c>
      <c r="C4" s="24">
        <f>'Данные по МКД-6'!B3</f>
        <v>24142.46</v>
      </c>
      <c r="D4" s="24">
        <f>'Данные по МКД-6'!C3</f>
        <v>24086.3</v>
      </c>
      <c r="E4" s="24">
        <f>'Данные по МКД-6'!D3</f>
        <v>35606.14</v>
      </c>
      <c r="F4" s="25">
        <f t="shared" ref="F4:F16" si="0">SUM(C4:E4)</f>
        <v>83834.899999999994</v>
      </c>
    </row>
    <row r="5" spans="1:6" x14ac:dyDescent="0.25">
      <c r="A5" s="6">
        <v>2</v>
      </c>
      <c r="B5" s="23" t="s">
        <v>30</v>
      </c>
      <c r="C5" s="24">
        <f>'Данные по МКД-6'!B4</f>
        <v>177642.68</v>
      </c>
      <c r="D5" s="24">
        <f>'Данные по МКД-6'!C4</f>
        <v>177228.42</v>
      </c>
      <c r="E5" s="24">
        <f>'Данные по МКД-6'!D4</f>
        <v>261991.12000000002</v>
      </c>
      <c r="F5" s="26">
        <f t="shared" si="0"/>
        <v>616862.22</v>
      </c>
    </row>
    <row r="6" spans="1:6" x14ac:dyDescent="0.25">
      <c r="A6" s="6">
        <v>3</v>
      </c>
      <c r="B6" s="23" t="s">
        <v>20</v>
      </c>
      <c r="C6" s="24">
        <f>'Данные по МКД-6'!B5</f>
        <v>0</v>
      </c>
      <c r="D6" s="24">
        <f>'Данные по МКД-6'!C5</f>
        <v>0</v>
      </c>
      <c r="E6" s="24">
        <f>'Данные по МКД-6'!D5</f>
        <v>0</v>
      </c>
      <c r="F6" s="26">
        <f t="shared" si="0"/>
        <v>0</v>
      </c>
    </row>
    <row r="7" spans="1:6" x14ac:dyDescent="0.25">
      <c r="A7" s="6">
        <v>4</v>
      </c>
      <c r="B7" s="23" t="s">
        <v>23</v>
      </c>
      <c r="C7" s="24">
        <f>'Данные по МКД-6'!B6</f>
        <v>0</v>
      </c>
      <c r="D7" s="24">
        <f>'Данные по МКД-6'!C6</f>
        <v>0</v>
      </c>
      <c r="E7" s="24">
        <f>'Данные по МКД-6'!D6</f>
        <v>0</v>
      </c>
      <c r="F7" s="26">
        <f t="shared" si="0"/>
        <v>0</v>
      </c>
    </row>
    <row r="8" spans="1:6" x14ac:dyDescent="0.25">
      <c r="A8" s="6">
        <v>5</v>
      </c>
      <c r="B8" s="23" t="s">
        <v>24</v>
      </c>
      <c r="C8" s="24">
        <f>'Данные по МКД-6'!B7</f>
        <v>0</v>
      </c>
      <c r="D8" s="24">
        <f>'Данные по МКД-6'!C7</f>
        <v>0</v>
      </c>
      <c r="E8" s="24">
        <f>'Данные по МКД-6'!D7</f>
        <v>0</v>
      </c>
      <c r="F8" s="26">
        <f t="shared" si="0"/>
        <v>0</v>
      </c>
    </row>
    <row r="9" spans="1:6" ht="14.45" customHeight="1" x14ac:dyDescent="0.25">
      <c r="A9" s="6">
        <v>6</v>
      </c>
      <c r="B9" s="23" t="s">
        <v>29</v>
      </c>
      <c r="C9" s="24">
        <f>'Данные по МКД-6'!B8</f>
        <v>0</v>
      </c>
      <c r="D9" s="24">
        <f>'Данные по МКД-6'!C8</f>
        <v>0</v>
      </c>
      <c r="E9" s="24">
        <f>'Данные по МКД-6'!D8</f>
        <v>0</v>
      </c>
      <c r="F9" s="26">
        <f t="shared" si="0"/>
        <v>0</v>
      </c>
    </row>
    <row r="10" spans="1:6" ht="14.45" customHeight="1" x14ac:dyDescent="0.25">
      <c r="A10" s="6">
        <v>7</v>
      </c>
      <c r="B10" s="23" t="s">
        <v>28</v>
      </c>
      <c r="C10" s="24">
        <f>'Данные по МКД-6'!B9</f>
        <v>0</v>
      </c>
      <c r="D10" s="24">
        <f>'Данные по МКД-6'!C9</f>
        <v>0</v>
      </c>
      <c r="E10" s="24">
        <f>'Данные по МКД-6'!D9</f>
        <v>0</v>
      </c>
      <c r="F10" s="26">
        <f t="shared" si="0"/>
        <v>0</v>
      </c>
    </row>
    <row r="11" spans="1:6" x14ac:dyDescent="0.25">
      <c r="A11" s="6">
        <v>8</v>
      </c>
      <c r="B11" s="23" t="s">
        <v>19</v>
      </c>
      <c r="C11" s="24">
        <f>'Данные по МКД-6'!B10</f>
        <v>14337.9</v>
      </c>
      <c r="D11" s="24">
        <f>'Данные по МКД-6'!C10</f>
        <v>14304.5</v>
      </c>
      <c r="E11" s="24">
        <f>'Данные по МКД-6'!D10</f>
        <v>21062.98</v>
      </c>
      <c r="F11" s="26">
        <f t="shared" si="0"/>
        <v>49705.380000000005</v>
      </c>
    </row>
    <row r="12" spans="1:6" x14ac:dyDescent="0.25">
      <c r="A12" s="6">
        <v>9</v>
      </c>
      <c r="B12" s="23" t="s">
        <v>18</v>
      </c>
      <c r="C12" s="24">
        <f>'Данные по МКД-6'!B11</f>
        <v>20330.740000000002</v>
      </c>
      <c r="D12" s="24">
        <f>'Данные по МКД-6'!C11</f>
        <v>20375.48</v>
      </c>
      <c r="E12" s="24">
        <f>'Данные по МКД-6'!D11</f>
        <v>36544.86</v>
      </c>
      <c r="F12" s="26">
        <f t="shared" si="0"/>
        <v>77251.08</v>
      </c>
    </row>
    <row r="13" spans="1:6" x14ac:dyDescent="0.25">
      <c r="A13" s="6">
        <v>10</v>
      </c>
      <c r="B13" s="23" t="s">
        <v>27</v>
      </c>
      <c r="C13" s="24">
        <f>'Данные по МКД-6'!B12</f>
        <v>0</v>
      </c>
      <c r="D13" s="24">
        <f>'Данные по МКД-6'!C12</f>
        <v>0</v>
      </c>
      <c r="E13" s="24">
        <f>'Данные по МКД-6'!D12</f>
        <v>0</v>
      </c>
      <c r="F13" s="26">
        <f t="shared" si="0"/>
        <v>0</v>
      </c>
    </row>
    <row r="14" spans="1:6" x14ac:dyDescent="0.25">
      <c r="A14" s="6">
        <v>11</v>
      </c>
      <c r="B14" s="23" t="s">
        <v>26</v>
      </c>
      <c r="C14" s="24">
        <f>'Данные по МКД-6'!B13</f>
        <v>0</v>
      </c>
      <c r="D14" s="24">
        <f>'Данные по МКД-6'!C13</f>
        <v>0</v>
      </c>
      <c r="E14" s="24">
        <f>'Данные по МКД-6'!D13</f>
        <v>0</v>
      </c>
      <c r="F14" s="26">
        <f t="shared" si="0"/>
        <v>0</v>
      </c>
    </row>
    <row r="15" spans="1:6" x14ac:dyDescent="0.25">
      <c r="A15" s="6">
        <v>12</v>
      </c>
      <c r="B15" s="23" t="s">
        <v>25</v>
      </c>
      <c r="C15" s="24">
        <f>'Данные по МКД-6'!B14</f>
        <v>0</v>
      </c>
      <c r="D15" s="24">
        <f>'Данные по МКД-6'!C14</f>
        <v>0</v>
      </c>
      <c r="E15" s="24">
        <f>'Данные по МКД-6'!D14</f>
        <v>0</v>
      </c>
      <c r="F15" s="26">
        <f t="shared" si="0"/>
        <v>0</v>
      </c>
    </row>
    <row r="16" spans="1:6" ht="14.45" customHeight="1" thickBot="1" x14ac:dyDescent="0.3">
      <c r="A16" s="6">
        <v>13</v>
      </c>
      <c r="B16" s="23" t="s">
        <v>22</v>
      </c>
      <c r="C16" s="24">
        <f>'Данные по МКД-6'!B15</f>
        <v>16024.68</v>
      </c>
      <c r="D16" s="24">
        <f>'Данные по МКД-6'!C15</f>
        <v>15987.42</v>
      </c>
      <c r="E16" s="24">
        <f>'Данные по МКД-6'!D15</f>
        <v>23634</v>
      </c>
      <c r="F16" s="27">
        <f t="shared" si="0"/>
        <v>55646.1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D19" sqref="D19"/>
    </sheetView>
  </sheetViews>
  <sheetFormatPr defaultColWidth="18.140625" defaultRowHeight="15" x14ac:dyDescent="0.25"/>
  <cols>
    <col min="1" max="1" width="3.140625" customWidth="1"/>
    <col min="2" max="2" width="75.42578125" customWidth="1"/>
    <col min="3" max="3" width="18.42578125" customWidth="1"/>
    <col min="7" max="7" width="0" style="13" hidden="1" customWidth="1"/>
    <col min="8" max="37" width="8.140625" customWidth="1"/>
  </cols>
  <sheetData>
    <row r="1" spans="1:7" x14ac:dyDescent="0.25">
      <c r="B1" s="4" t="s">
        <v>76</v>
      </c>
      <c r="C1" s="53" t="s">
        <v>79</v>
      </c>
      <c r="D1" s="53"/>
      <c r="E1" s="53"/>
      <c r="F1" s="53"/>
    </row>
    <row r="2" spans="1:7" x14ac:dyDescent="0.25">
      <c r="B2" s="4" t="s">
        <v>53</v>
      </c>
      <c r="C2" s="8" t="s">
        <v>87</v>
      </c>
      <c r="D2" s="8" t="s">
        <v>83</v>
      </c>
      <c r="E2" s="8" t="s">
        <v>84</v>
      </c>
      <c r="F2" s="9" t="s">
        <v>67</v>
      </c>
    </row>
    <row r="3" spans="1:7" ht="14.45" customHeight="1" x14ac:dyDescent="0.25">
      <c r="A3" s="6">
        <v>1</v>
      </c>
      <c r="B3" s="1" t="s">
        <v>0</v>
      </c>
      <c r="C3" s="31">
        <v>0</v>
      </c>
      <c r="D3" s="31">
        <v>0</v>
      </c>
      <c r="E3" s="31">
        <v>0</v>
      </c>
      <c r="F3" s="28"/>
    </row>
    <row r="4" spans="1:7" ht="14.45" customHeight="1" x14ac:dyDescent="0.25">
      <c r="A4" s="6">
        <v>2</v>
      </c>
      <c r="B4" s="1" t="s">
        <v>1</v>
      </c>
      <c r="C4" s="31">
        <v>0</v>
      </c>
      <c r="D4" s="31">
        <v>0</v>
      </c>
      <c r="E4" s="31">
        <v>0</v>
      </c>
      <c r="F4" s="28">
        <f>SUM(C4:E4)</f>
        <v>0</v>
      </c>
    </row>
    <row r="5" spans="1:7" ht="14.45" customHeight="1" x14ac:dyDescent="0.25">
      <c r="A5" s="6">
        <v>3</v>
      </c>
      <c r="B5" s="1" t="s">
        <v>2</v>
      </c>
      <c r="C5" s="31">
        <v>0</v>
      </c>
      <c r="D5" s="31">
        <v>0</v>
      </c>
      <c r="E5" s="31">
        <v>0</v>
      </c>
      <c r="F5" s="28"/>
      <c r="G5" s="14">
        <f>9584576-F5</f>
        <v>9584576</v>
      </c>
    </row>
    <row r="6" spans="1:7" ht="14.45" customHeight="1" x14ac:dyDescent="0.25">
      <c r="A6" s="6">
        <v>4</v>
      </c>
      <c r="B6" s="2" t="s">
        <v>3</v>
      </c>
      <c r="C6" s="32"/>
      <c r="D6" s="32"/>
      <c r="E6" s="32"/>
      <c r="F6" s="28">
        <f>SUM(C6:E6)</f>
        <v>0</v>
      </c>
    </row>
    <row r="7" spans="1:7" ht="14.45" customHeight="1" x14ac:dyDescent="0.25">
      <c r="A7" s="6"/>
      <c r="B7" s="1" t="s">
        <v>4</v>
      </c>
      <c r="C7" s="32">
        <f>'Данные по УК'!B4-'Данные по МКД-1'!C8-C9</f>
        <v>166767.17999999996</v>
      </c>
      <c r="D7" s="32">
        <f>'Данные по УК'!C4-'Данные по МКД-1'!D8-D9</f>
        <v>166470.72000000003</v>
      </c>
      <c r="E7" s="32">
        <f>'Данные по УК'!D4-'Данные по МКД-1'!E8-E9</f>
        <v>252430.41999999998</v>
      </c>
      <c r="F7" s="28"/>
    </row>
    <row r="8" spans="1:7" ht="14.45" customHeight="1" x14ac:dyDescent="0.25">
      <c r="A8" s="6"/>
      <c r="B8" s="1" t="s">
        <v>5</v>
      </c>
      <c r="C8" s="32">
        <f>61568.82</f>
        <v>61568.82</v>
      </c>
      <c r="D8" s="32">
        <v>61425.1</v>
      </c>
      <c r="E8" s="32">
        <v>90802.54</v>
      </c>
      <c r="F8" s="28"/>
    </row>
    <row r="9" spans="1:7" ht="14.45" customHeight="1" x14ac:dyDescent="0.25">
      <c r="A9" s="6"/>
      <c r="B9" s="1" t="s">
        <v>6</v>
      </c>
      <c r="C9" s="32">
        <f>24142.46</f>
        <v>24142.46</v>
      </c>
      <c r="D9" s="32">
        <v>24086.3</v>
      </c>
      <c r="E9" s="32">
        <v>35606.14</v>
      </c>
      <c r="F9" s="28"/>
    </row>
    <row r="10" spans="1:7" ht="14.45" customHeight="1" x14ac:dyDescent="0.25">
      <c r="A10" s="6">
        <v>5</v>
      </c>
      <c r="B10" s="2" t="s">
        <v>7</v>
      </c>
      <c r="C10" s="32"/>
      <c r="D10" s="32"/>
      <c r="E10" s="32"/>
      <c r="F10" s="28">
        <f>SUM(C10:E10)</f>
        <v>0</v>
      </c>
    </row>
    <row r="11" spans="1:7" ht="14.45" customHeight="1" x14ac:dyDescent="0.25">
      <c r="A11" s="6"/>
      <c r="B11" s="1" t="s">
        <v>8</v>
      </c>
      <c r="C11" s="32">
        <v>180920.38</v>
      </c>
      <c r="D11" s="32">
        <v>193435.01</v>
      </c>
      <c r="E11" s="32">
        <v>263314.98</v>
      </c>
      <c r="F11" s="28"/>
      <c r="G11" s="14">
        <f>4402729+18957145-F11</f>
        <v>23359874</v>
      </c>
    </row>
    <row r="12" spans="1:7" ht="14.45" customHeight="1" x14ac:dyDescent="0.25">
      <c r="A12" s="6"/>
      <c r="B12" s="1" t="s">
        <v>9</v>
      </c>
      <c r="C12" s="32">
        <v>0</v>
      </c>
      <c r="D12" s="32">
        <v>0</v>
      </c>
      <c r="E12" s="32">
        <v>0</v>
      </c>
      <c r="F12" s="28">
        <f t="shared" ref="F12:F19" si="0">SUM(C12:E12)</f>
        <v>0</v>
      </c>
    </row>
    <row r="13" spans="1:7" ht="14.45" customHeight="1" x14ac:dyDescent="0.25">
      <c r="A13" s="6"/>
      <c r="B13" s="1" t="s">
        <v>10</v>
      </c>
      <c r="C13" s="32">
        <v>0</v>
      </c>
      <c r="D13" s="32">
        <v>0</v>
      </c>
      <c r="E13" s="32">
        <v>0</v>
      </c>
      <c r="F13" s="28">
        <f t="shared" si="0"/>
        <v>0</v>
      </c>
    </row>
    <row r="14" spans="1:7" ht="14.45" customHeight="1" x14ac:dyDescent="0.25">
      <c r="A14" s="6"/>
      <c r="B14" s="1" t="s">
        <v>11</v>
      </c>
      <c r="C14" s="32">
        <v>0</v>
      </c>
      <c r="D14" s="32">
        <v>0</v>
      </c>
      <c r="E14" s="32">
        <v>0</v>
      </c>
      <c r="F14" s="28">
        <f t="shared" si="0"/>
        <v>0</v>
      </c>
    </row>
    <row r="15" spans="1:7" ht="14.45" customHeight="1" x14ac:dyDescent="0.25">
      <c r="A15" s="6"/>
      <c r="B15" s="1" t="s">
        <v>12</v>
      </c>
      <c r="C15" s="32">
        <v>0</v>
      </c>
      <c r="D15" s="32">
        <v>0</v>
      </c>
      <c r="E15" s="32">
        <v>0</v>
      </c>
      <c r="F15" s="28">
        <f t="shared" si="0"/>
        <v>0</v>
      </c>
    </row>
    <row r="16" spans="1:7" ht="14.45" customHeight="1" x14ac:dyDescent="0.25">
      <c r="A16" s="6">
        <v>6</v>
      </c>
      <c r="B16" s="1" t="s">
        <v>13</v>
      </c>
      <c r="C16" s="31">
        <f>C11</f>
        <v>180920.38</v>
      </c>
      <c r="D16" s="31">
        <f>D11</f>
        <v>193435.01</v>
      </c>
      <c r="E16" s="31">
        <f>E11</f>
        <v>263314.98</v>
      </c>
      <c r="F16" s="28">
        <f t="shared" si="0"/>
        <v>637670.37</v>
      </c>
    </row>
    <row r="17" spans="1:7" ht="14.45" customHeight="1" x14ac:dyDescent="0.25">
      <c r="A17" s="6">
        <v>7</v>
      </c>
      <c r="B17" s="1" t="s">
        <v>14</v>
      </c>
      <c r="C17" s="31">
        <v>5496.07</v>
      </c>
      <c r="D17" s="31">
        <v>5412.41</v>
      </c>
      <c r="E17" s="31">
        <v>13687.77</v>
      </c>
      <c r="F17" s="28">
        <f t="shared" si="0"/>
        <v>24596.25</v>
      </c>
    </row>
    <row r="18" spans="1:7" ht="14.45" customHeight="1" x14ac:dyDescent="0.25">
      <c r="A18" s="6">
        <v>8</v>
      </c>
      <c r="B18" s="1" t="s">
        <v>15</v>
      </c>
      <c r="C18" s="31">
        <v>0</v>
      </c>
      <c r="D18" s="31">
        <v>0</v>
      </c>
      <c r="E18" s="31">
        <v>0</v>
      </c>
      <c r="F18" s="28">
        <f t="shared" si="0"/>
        <v>0</v>
      </c>
    </row>
    <row r="19" spans="1:7" ht="14.45" customHeight="1" x14ac:dyDescent="0.25">
      <c r="A19" s="29">
        <v>9</v>
      </c>
      <c r="B19" s="1" t="s">
        <v>16</v>
      </c>
      <c r="C19" s="31">
        <v>76023.509999999995</v>
      </c>
      <c r="D19" s="31">
        <v>64426.29</v>
      </c>
      <c r="E19" s="31">
        <v>129211.89</v>
      </c>
      <c r="F19" s="28">
        <f t="shared" si="0"/>
        <v>269661.69</v>
      </c>
      <c r="G19" s="14">
        <f>12728249-F19</f>
        <v>12458587.310000001</v>
      </c>
    </row>
    <row r="20" spans="1:7" x14ac:dyDescent="0.25">
      <c r="C20" s="30"/>
      <c r="D20" s="30"/>
      <c r="E20" s="30"/>
    </row>
    <row r="21" spans="1:7" x14ac:dyDescent="0.25">
      <c r="C21" s="30"/>
      <c r="D21" s="30"/>
      <c r="E21" s="30"/>
    </row>
    <row r="22" spans="1:7" x14ac:dyDescent="0.25">
      <c r="C22" s="30"/>
      <c r="D22" s="30"/>
      <c r="E22" s="30"/>
    </row>
    <row r="23" spans="1:7" x14ac:dyDescent="0.25">
      <c r="C23" s="30"/>
      <c r="D23" s="30"/>
      <c r="E23" s="30"/>
    </row>
    <row r="24" spans="1:7" x14ac:dyDescent="0.25">
      <c r="C24" s="30"/>
      <c r="D24" s="30"/>
      <c r="E24" s="30"/>
    </row>
    <row r="25" spans="1:7" x14ac:dyDescent="0.25">
      <c r="C25" s="30"/>
      <c r="D25" s="30"/>
      <c r="E25" s="30"/>
    </row>
    <row r="26" spans="1:7" x14ac:dyDescent="0.25">
      <c r="C26" s="30"/>
      <c r="D26" s="30"/>
      <c r="E26" s="30"/>
    </row>
    <row r="27" spans="1:7" x14ac:dyDescent="0.25">
      <c r="C27" s="30"/>
      <c r="D27" s="30"/>
      <c r="E27" s="30"/>
    </row>
    <row r="28" spans="1:7" x14ac:dyDescent="0.25">
      <c r="C28" s="30"/>
      <c r="D28" s="30"/>
      <c r="E28" s="30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0" sqref="C10:E13"/>
    </sheetView>
  </sheetViews>
  <sheetFormatPr defaultRowHeight="15" x14ac:dyDescent="0.25"/>
  <cols>
    <col min="1" max="1" width="4.5703125" customWidth="1"/>
    <col min="2" max="2" width="65.7109375" customWidth="1"/>
    <col min="3" max="3" width="14" customWidth="1"/>
    <col min="4" max="4" width="14.5703125" customWidth="1"/>
    <col min="5" max="5" width="13.7109375" customWidth="1"/>
    <col min="6" max="6" width="14.28515625" customWidth="1"/>
    <col min="7" max="7" width="0" hidden="1" customWidth="1"/>
  </cols>
  <sheetData>
    <row r="1" spans="1:7" x14ac:dyDescent="0.25">
      <c r="B1" s="4" t="s">
        <v>65</v>
      </c>
    </row>
    <row r="2" spans="1:7" x14ac:dyDescent="0.25">
      <c r="B2" s="3" t="s">
        <v>36</v>
      </c>
      <c r="C2" s="8" t="s">
        <v>87</v>
      </c>
      <c r="D2" s="8" t="s">
        <v>83</v>
      </c>
      <c r="E2" s="8" t="s">
        <v>84</v>
      </c>
      <c r="F2" s="9" t="s">
        <v>67</v>
      </c>
    </row>
    <row r="3" spans="1:7" ht="20.100000000000001" customHeight="1" x14ac:dyDescent="0.25">
      <c r="A3" s="6">
        <v>1</v>
      </c>
      <c r="B3" s="7" t="s">
        <v>0</v>
      </c>
      <c r="C3" s="35">
        <f>63.57*'Данные по МКД-1'!C3/100</f>
        <v>0</v>
      </c>
      <c r="D3" s="35">
        <f>61.51*'Данные по МКД-1'!D3/100</f>
        <v>0</v>
      </c>
      <c r="E3" s="35">
        <f>64.81*'Данные по МКД-1'!E3/100</f>
        <v>0</v>
      </c>
      <c r="F3" s="33">
        <f>SUM(C3:E3)</f>
        <v>0</v>
      </c>
      <c r="G3" s="14" t="e">
        <f>F3*100/'Данные по МКД-1'!F3</f>
        <v>#DIV/0!</v>
      </c>
    </row>
    <row r="4" spans="1:7" ht="28.5" x14ac:dyDescent="0.25">
      <c r="A4" s="6">
        <v>2</v>
      </c>
      <c r="B4" s="7" t="s">
        <v>1</v>
      </c>
      <c r="C4" s="35"/>
      <c r="D4" s="35"/>
      <c r="E4" s="35"/>
      <c r="F4" s="33">
        <f>SUM(C4:E4)</f>
        <v>0</v>
      </c>
    </row>
    <row r="5" spans="1:7" x14ac:dyDescent="0.25">
      <c r="A5" s="6">
        <v>3</v>
      </c>
      <c r="B5" s="7" t="s">
        <v>2</v>
      </c>
      <c r="C5" s="35">
        <f>63.57*'Данные по МКД-1'!C5/100</f>
        <v>0</v>
      </c>
      <c r="D5" s="35">
        <f>61.51*'Данные по МКД-1'!D5/100</f>
        <v>0</v>
      </c>
      <c r="E5" s="35">
        <f>64.81*'Данные по МКД-1'!E5/100</f>
        <v>0</v>
      </c>
      <c r="F5" s="33">
        <f>SUM(C5:E5)</f>
        <v>0</v>
      </c>
      <c r="G5" s="14" t="e">
        <f>F5*100/'Данные по МКД-1'!F5</f>
        <v>#DIV/0!</v>
      </c>
    </row>
    <row r="6" spans="1:7" x14ac:dyDescent="0.25">
      <c r="A6" s="6">
        <v>4</v>
      </c>
      <c r="B6" s="7" t="s">
        <v>14</v>
      </c>
      <c r="C6" s="35">
        <v>12706.76</v>
      </c>
      <c r="D6" s="35">
        <v>13285.27</v>
      </c>
      <c r="E6" s="35">
        <f>30180.99+864.12</f>
        <v>31045.11</v>
      </c>
      <c r="F6" s="33">
        <f>SUM(C6:E6)</f>
        <v>57037.14</v>
      </c>
      <c r="G6" s="14">
        <f>F6*100/'Данные по МКД-1'!F17</f>
        <v>231.89364232352492</v>
      </c>
    </row>
    <row r="7" spans="1:7" ht="28.5" x14ac:dyDescent="0.25">
      <c r="A7" s="6">
        <v>5</v>
      </c>
      <c r="B7" s="7" t="s">
        <v>15</v>
      </c>
      <c r="C7" s="35"/>
      <c r="D7" s="35"/>
      <c r="E7" s="35">
        <v>0</v>
      </c>
      <c r="F7" s="33">
        <f>SUM(C7:E7)</f>
        <v>0</v>
      </c>
    </row>
    <row r="8" spans="1:7" x14ac:dyDescent="0.25">
      <c r="A8" s="6">
        <v>6</v>
      </c>
      <c r="B8" s="7" t="s">
        <v>16</v>
      </c>
      <c r="C8" s="35">
        <v>175764.22</v>
      </c>
      <c r="D8" s="35">
        <v>158140.4</v>
      </c>
      <c r="E8" s="35">
        <f>284907.14+8157.29</f>
        <v>293064.43</v>
      </c>
      <c r="F8" s="33"/>
    </row>
    <row r="9" spans="1:7" x14ac:dyDescent="0.25">
      <c r="A9" s="6"/>
      <c r="B9" s="7"/>
      <c r="C9" s="35"/>
      <c r="D9" s="35"/>
      <c r="E9" s="35"/>
      <c r="F9" s="33">
        <f>SUM(C9:E9)</f>
        <v>0</v>
      </c>
    </row>
    <row r="10" spans="1:7" x14ac:dyDescent="0.25">
      <c r="A10" s="6">
        <v>7</v>
      </c>
      <c r="B10" s="7" t="s">
        <v>32</v>
      </c>
      <c r="C10" s="86"/>
      <c r="D10" s="86"/>
      <c r="E10" s="86"/>
      <c r="F10" s="33">
        <f>SUM(C10:E10)</f>
        <v>0</v>
      </c>
    </row>
    <row r="11" spans="1:7" x14ac:dyDescent="0.25">
      <c r="A11" s="6">
        <v>8</v>
      </c>
      <c r="B11" s="7" t="s">
        <v>33</v>
      </c>
      <c r="C11" s="87"/>
      <c r="D11" s="87"/>
      <c r="E11" s="87"/>
      <c r="F11" s="33">
        <f>SUM(C11:E11)</f>
        <v>0</v>
      </c>
    </row>
    <row r="12" spans="1:7" ht="28.5" x14ac:dyDescent="0.25">
      <c r="A12" s="6">
        <v>9</v>
      </c>
      <c r="B12" s="7" t="s">
        <v>34</v>
      </c>
      <c r="C12" s="87"/>
      <c r="D12" s="87"/>
      <c r="E12" s="87"/>
      <c r="F12" s="33">
        <f>SUM(C12:E12)</f>
        <v>0</v>
      </c>
    </row>
    <row r="13" spans="1:7" x14ac:dyDescent="0.25">
      <c r="A13" s="6">
        <v>10</v>
      </c>
      <c r="B13" s="7" t="s">
        <v>35</v>
      </c>
      <c r="C13" s="87"/>
      <c r="D13" s="87"/>
      <c r="E13" s="87"/>
      <c r="F13" s="33">
        <f>SUM(C13:E13)</f>
        <v>0</v>
      </c>
    </row>
    <row r="14" spans="1:7" x14ac:dyDescent="0.25">
      <c r="C14" s="34"/>
      <c r="D14" s="34"/>
      <c r="E14" s="34"/>
      <c r="F14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"/>
  <sheetViews>
    <sheetView workbookViewId="0">
      <selection activeCell="A4" sqref="A4:XFD4"/>
    </sheetView>
  </sheetViews>
  <sheetFormatPr defaultRowHeight="15" x14ac:dyDescent="0.25"/>
  <cols>
    <col min="1" max="1" width="79.28515625" customWidth="1"/>
    <col min="2" max="2" width="17.85546875" customWidth="1"/>
    <col min="3" max="3" width="15.28515625" customWidth="1"/>
    <col min="4" max="4" width="12.5703125" customWidth="1"/>
    <col min="5" max="5" width="12" style="65" customWidth="1"/>
    <col min="6" max="6" width="13.140625" customWidth="1"/>
  </cols>
  <sheetData>
    <row r="1" spans="1:6" x14ac:dyDescent="0.25">
      <c r="A1" s="4" t="s">
        <v>65</v>
      </c>
    </row>
    <row r="2" spans="1:6" x14ac:dyDescent="0.25">
      <c r="A2" s="3" t="s">
        <v>52</v>
      </c>
      <c r="B2" s="8" t="s">
        <v>87</v>
      </c>
      <c r="C2" s="8" t="s">
        <v>83</v>
      </c>
      <c r="D2" s="8" t="s">
        <v>84</v>
      </c>
      <c r="E2" s="66" t="s">
        <v>85</v>
      </c>
      <c r="F2" s="9" t="s">
        <v>67</v>
      </c>
    </row>
    <row r="3" spans="1:6" ht="20.100000000000001" customHeight="1" x14ac:dyDescent="0.25">
      <c r="A3" s="7" t="s">
        <v>49</v>
      </c>
      <c r="B3" s="6">
        <v>0</v>
      </c>
      <c r="C3" s="6">
        <v>0</v>
      </c>
      <c r="D3" s="6">
        <v>0</v>
      </c>
      <c r="E3" s="29">
        <v>0</v>
      </c>
      <c r="F3" s="6"/>
    </row>
    <row r="4" spans="1:6" ht="20.100000000000001" customHeight="1" x14ac:dyDescent="0.25">
      <c r="A4" s="7" t="s">
        <v>50</v>
      </c>
      <c r="B4" s="6">
        <v>0</v>
      </c>
      <c r="C4" s="6">
        <v>0</v>
      </c>
      <c r="D4" s="6">
        <v>0</v>
      </c>
      <c r="E4" s="29">
        <v>0</v>
      </c>
      <c r="F4" s="6"/>
    </row>
    <row r="5" spans="1:6" ht="20.100000000000001" customHeight="1" x14ac:dyDescent="0.25">
      <c r="A5" s="7" t="s">
        <v>51</v>
      </c>
      <c r="B5" s="6">
        <v>0</v>
      </c>
      <c r="C5" s="6">
        <v>0</v>
      </c>
      <c r="D5" s="6">
        <v>0</v>
      </c>
      <c r="E5" s="29">
        <v>0</v>
      </c>
      <c r="F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Данные по УК</vt:lpstr>
      <vt:lpstr>Данные по МКД-4</vt:lpstr>
      <vt:lpstr>Данные по МКД-6</vt:lpstr>
      <vt:lpstr>Данные по МКД-2</vt:lpstr>
      <vt:lpstr>Данные по МКД-1</vt:lpstr>
      <vt:lpstr>Данные по МКД-3</vt:lpstr>
      <vt:lpstr>Данные по МКД-5</vt:lpstr>
      <vt:lpstr>'Данные по МКД-1'!Область_печати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Синицына Елена Олеговна</cp:lastModifiedBy>
  <cp:lastPrinted>2016-03-25T13:05:58Z</cp:lastPrinted>
  <dcterms:created xsi:type="dcterms:W3CDTF">2016-03-23T13:09:41Z</dcterms:created>
  <dcterms:modified xsi:type="dcterms:W3CDTF">2017-03-31T10:05:54Z</dcterms:modified>
</cp:coreProperties>
</file>